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updateLinks="never" autoCompressPictures="0"/>
  <mc:AlternateContent xmlns:mc="http://schemas.openxmlformats.org/markup-compatibility/2006">
    <mc:Choice Requires="x15">
      <x15ac:absPath xmlns:x15ac="http://schemas.microsoft.com/office/spreadsheetml/2010/11/ac" url="C:\Users\dzhang\Downloads\"/>
    </mc:Choice>
  </mc:AlternateContent>
  <xr:revisionPtr revIDLastSave="0" documentId="13_ncr:1_{9A5BAEF8-958D-4405-8B22-131433AB0981}" xr6:coauthVersionLast="46" xr6:coauthVersionMax="46" xr10:uidLastSave="{00000000-0000-0000-0000-000000000000}"/>
  <bookViews>
    <workbookView xWindow="2760" yWindow="3435" windowWidth="28800" windowHeight="15555" tabRatio="638" xr2:uid="{00000000-000D-0000-FFFF-FFFF00000000}"/>
  </bookViews>
  <sheets>
    <sheet name="Storage - General Market (2020)" sheetId="8" r:id="rId1"/>
    <sheet name="Storage - Equity&amp;ER (2020)" sheetId="7" r:id="rId2"/>
    <sheet name="Storage - General Market (2017)" sheetId="5" r:id="rId3"/>
    <sheet name="Storage - Equity&amp;ER (2017)" sheetId="9" r:id="rId4"/>
    <sheet name="Generation (2020)" sheetId="10" r:id="rId5"/>
    <sheet name="Generation (2017)" sheetId="1" r:id="rId6"/>
    <sheet name="Form FIlls" sheetId="2" state="hidden" r:id="rId7"/>
  </sheets>
  <definedNames>
    <definedName name="No">'Form FIlls'!$E$21:$E$22</definedName>
    <definedName name="Yes">'Form FIlls'!$F$21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0" l="1"/>
  <c r="D46" i="10"/>
  <c r="E39" i="8"/>
  <c r="D39" i="8"/>
  <c r="C39" i="8"/>
  <c r="F58" i="10" l="1"/>
  <c r="C53" i="10"/>
  <c r="C52" i="10"/>
  <c r="C51" i="10"/>
  <c r="H51" i="10" s="1"/>
  <c r="C50" i="10"/>
  <c r="H50" i="10" s="1"/>
  <c r="E39" i="10"/>
  <c r="D39" i="10"/>
  <c r="C39" i="10"/>
  <c r="E40" i="10" s="1"/>
  <c r="E41" i="10" s="1"/>
  <c r="E47" i="10" s="1"/>
  <c r="C38" i="10"/>
  <c r="F36" i="10"/>
  <c r="C36" i="10"/>
  <c r="B21" i="10"/>
  <c r="B20" i="10"/>
  <c r="B19" i="10"/>
  <c r="B17" i="10"/>
  <c r="B14" i="10"/>
  <c r="B16" i="10" s="1"/>
  <c r="E38" i="10" l="1"/>
  <c r="D38" i="10"/>
  <c r="B26" i="10"/>
  <c r="B27" i="10" s="1"/>
  <c r="E42" i="10"/>
  <c r="E43" i="10" s="1"/>
  <c r="E44" i="10" s="1"/>
  <c r="C40" i="10"/>
  <c r="D40" i="10"/>
  <c r="H39" i="10"/>
  <c r="C55" i="10"/>
  <c r="E58" i="10" s="1"/>
  <c r="G33" i="7"/>
  <c r="E26" i="7"/>
  <c r="E25" i="7"/>
  <c r="D26" i="7"/>
  <c r="D25" i="7"/>
  <c r="C26" i="7"/>
  <c r="C25" i="7"/>
  <c r="C24" i="7"/>
  <c r="E38" i="8"/>
  <c r="D38" i="8"/>
  <c r="C38" i="8"/>
  <c r="H34" i="8"/>
  <c r="E27" i="8"/>
  <c r="D27" i="8"/>
  <c r="C27" i="8"/>
  <c r="E26" i="8"/>
  <c r="D26" i="8"/>
  <c r="C26" i="8"/>
  <c r="E43" i="9"/>
  <c r="C38" i="9"/>
  <c r="C37" i="9"/>
  <c r="C36" i="9"/>
  <c r="C35" i="9"/>
  <c r="G32" i="9"/>
  <c r="B30" i="9"/>
  <c r="B29" i="9"/>
  <c r="B28" i="9"/>
  <c r="E27" i="9"/>
  <c r="D27" i="9"/>
  <c r="C27" i="9"/>
  <c r="E25" i="9"/>
  <c r="D25" i="9"/>
  <c r="E24" i="9"/>
  <c r="D24" i="9"/>
  <c r="C23" i="9"/>
  <c r="E21" i="9"/>
  <c r="D21" i="9"/>
  <c r="B11" i="9"/>
  <c r="D41" i="10" l="1"/>
  <c r="D47" i="10" s="1"/>
  <c r="D48" i="10" s="1"/>
  <c r="E48" i="10"/>
  <c r="H40" i="10"/>
  <c r="C41" i="10"/>
  <c r="C47" i="10" s="1"/>
  <c r="C48" i="10" s="1"/>
  <c r="C40" i="9"/>
  <c r="D43" i="9" s="1"/>
  <c r="C28" i="9"/>
  <c r="D28" i="9"/>
  <c r="E28" i="9"/>
  <c r="H48" i="10" l="1"/>
  <c r="H61" i="10" s="1"/>
  <c r="D42" i="10"/>
  <c r="D43" i="10" s="1"/>
  <c r="D44" i="10" s="1"/>
  <c r="C42" i="10"/>
  <c r="H41" i="10"/>
  <c r="C30" i="9"/>
  <c r="C29" i="9"/>
  <c r="E29" i="9"/>
  <c r="D29" i="9"/>
  <c r="E30" i="9" s="1"/>
  <c r="D30" i="9"/>
  <c r="D58" i="10" l="1"/>
  <c r="D57" i="10"/>
  <c r="C43" i="10"/>
  <c r="H42" i="10"/>
  <c r="G31" i="9"/>
  <c r="G33" i="9" s="1"/>
  <c r="G39" i="9" s="1"/>
  <c r="C42" i="9" s="1"/>
  <c r="G42" i="9" s="1"/>
  <c r="C43" i="9" s="1"/>
  <c r="G43" i="9" s="1"/>
  <c r="H43" i="10" l="1"/>
  <c r="C44" i="10"/>
  <c r="H44" i="10" s="1"/>
  <c r="H54" i="10" s="1"/>
  <c r="G45" i="9"/>
  <c r="G46" i="9" s="1"/>
  <c r="C57" i="10" l="1"/>
  <c r="F49" i="8"/>
  <c r="C44" i="8"/>
  <c r="C43" i="8"/>
  <c r="C42" i="8"/>
  <c r="H42" i="8" s="1"/>
  <c r="C41" i="8"/>
  <c r="H41" i="8" s="1"/>
  <c r="B32" i="8"/>
  <c r="B31" i="8"/>
  <c r="B30" i="8"/>
  <c r="E29" i="8"/>
  <c r="D29" i="8"/>
  <c r="C29" i="8"/>
  <c r="C25" i="8"/>
  <c r="E23" i="8"/>
  <c r="D23" i="8"/>
  <c r="B11" i="8"/>
  <c r="H57" i="10" l="1"/>
  <c r="C46" i="8"/>
  <c r="E49" i="8" s="1"/>
  <c r="C30" i="8"/>
  <c r="E30" i="8"/>
  <c r="C39" i="7"/>
  <c r="C38" i="5"/>
  <c r="C55" i="1"/>
  <c r="C58" i="10" l="1"/>
  <c r="H58" i="10" s="1"/>
  <c r="H60" i="10" s="1"/>
  <c r="H62" i="10" s="1"/>
  <c r="D30" i="8"/>
  <c r="C31" i="8"/>
  <c r="E44" i="7"/>
  <c r="C38" i="7"/>
  <c r="C37" i="7"/>
  <c r="C36" i="7"/>
  <c r="C41" i="7" s="1"/>
  <c r="D44" i="7" s="1"/>
  <c r="B31" i="7"/>
  <c r="B30" i="7"/>
  <c r="B29" i="7"/>
  <c r="E28" i="7"/>
  <c r="D28" i="7"/>
  <c r="C28" i="7"/>
  <c r="E22" i="7"/>
  <c r="D22" i="7"/>
  <c r="B11" i="7"/>
  <c r="E31" i="8" l="1"/>
  <c r="D31" i="8"/>
  <c r="D32" i="8" s="1"/>
  <c r="C32" i="8"/>
  <c r="C29" i="7"/>
  <c r="D29" i="7"/>
  <c r="E29" i="7"/>
  <c r="B20" i="1"/>
  <c r="B17" i="1"/>
  <c r="B28" i="5"/>
  <c r="B29" i="5"/>
  <c r="B30" i="5"/>
  <c r="D21" i="5"/>
  <c r="B14" i="1"/>
  <c r="B16" i="1" s="1"/>
  <c r="C38" i="1"/>
  <c r="D39" i="1" s="1"/>
  <c r="C39" i="1"/>
  <c r="C40" i="1" s="1"/>
  <c r="C37" i="1"/>
  <c r="E43" i="5"/>
  <c r="C35" i="5"/>
  <c r="C40" i="5" s="1"/>
  <c r="D43" i="5" s="1"/>
  <c r="C36" i="5"/>
  <c r="G36" i="5" s="1"/>
  <c r="C37" i="5"/>
  <c r="B11" i="5"/>
  <c r="C27" i="5"/>
  <c r="D27" i="5"/>
  <c r="E27" i="5"/>
  <c r="C23" i="5"/>
  <c r="E21" i="5"/>
  <c r="C52" i="1"/>
  <c r="D38" i="1"/>
  <c r="E38" i="1"/>
  <c r="E39" i="1"/>
  <c r="E40" i="1" s="1"/>
  <c r="E37" i="1" s="1"/>
  <c r="C53" i="1"/>
  <c r="H53" i="1" s="1"/>
  <c r="B21" i="1"/>
  <c r="C47" i="1" s="1"/>
  <c r="C54" i="1"/>
  <c r="F60" i="1"/>
  <c r="C35" i="1"/>
  <c r="F35" i="1"/>
  <c r="B19" i="1"/>
  <c r="H38" i="1"/>
  <c r="E32" i="8" l="1"/>
  <c r="G35" i="5"/>
  <c r="H52" i="1"/>
  <c r="C57" i="1"/>
  <c r="E60" i="1" s="1"/>
  <c r="E30" i="7"/>
  <c r="D30" i="7"/>
  <c r="C30" i="7"/>
  <c r="C31" i="7" s="1"/>
  <c r="D40" i="1"/>
  <c r="D37" i="1" s="1"/>
  <c r="H39" i="1"/>
  <c r="D47" i="1"/>
  <c r="D28" i="5"/>
  <c r="E28" i="5"/>
  <c r="B26" i="1"/>
  <c r="B27" i="1" s="1"/>
  <c r="H49" i="1" s="1"/>
  <c r="C28" i="5"/>
  <c r="C45" i="1"/>
  <c r="D45" i="1" s="1"/>
  <c r="C41" i="1"/>
  <c r="C46" i="1"/>
  <c r="E46" i="1"/>
  <c r="E47" i="1"/>
  <c r="E41" i="1"/>
  <c r="H33" i="8" l="1"/>
  <c r="H39" i="8"/>
  <c r="H52" i="8" s="1"/>
  <c r="E42" i="1"/>
  <c r="E43" i="1" s="1"/>
  <c r="C42" i="1"/>
  <c r="C43" i="1" s="1"/>
  <c r="H40" i="1"/>
  <c r="D46" i="1"/>
  <c r="C48" i="1"/>
  <c r="D41" i="1"/>
  <c r="D31" i="7"/>
  <c r="E31" i="7"/>
  <c r="G32" i="7"/>
  <c r="G34" i="7" s="1"/>
  <c r="G40" i="7" s="1"/>
  <c r="D29" i="5"/>
  <c r="E29" i="5"/>
  <c r="C29" i="5"/>
  <c r="E30" i="5" s="1"/>
  <c r="D48" i="1"/>
  <c r="E45" i="1"/>
  <c r="E48" i="1" s="1"/>
  <c r="H35" i="8" l="1"/>
  <c r="H45" i="8" s="1"/>
  <c r="C48" i="8" s="1"/>
  <c r="D42" i="1"/>
  <c r="D43" i="1" s="1"/>
  <c r="H43" i="1" s="1"/>
  <c r="H56" i="1" s="1"/>
  <c r="C59" i="1" s="1"/>
  <c r="D48" i="8"/>
  <c r="D49" i="8"/>
  <c r="H41" i="1"/>
  <c r="C30" i="5"/>
  <c r="D30" i="5"/>
  <c r="C43" i="7"/>
  <c r="G43" i="7" s="1"/>
  <c r="C44" i="7" s="1"/>
  <c r="G44" i="7" s="1"/>
  <c r="H48" i="1"/>
  <c r="H50" i="1" s="1"/>
  <c r="D60" i="1" s="1"/>
  <c r="H48" i="8" l="1"/>
  <c r="C49" i="8" s="1"/>
  <c r="H49" i="8" s="1"/>
  <c r="H51" i="8" s="1"/>
  <c r="H53" i="8" s="1"/>
  <c r="H42" i="1"/>
  <c r="G31" i="5"/>
  <c r="D59" i="1"/>
  <c r="H59" i="1" s="1"/>
  <c r="C60" i="1" s="1"/>
  <c r="H60" i="1" s="1"/>
  <c r="H62" i="1" s="1"/>
  <c r="H63" i="1"/>
  <c r="G46" i="7"/>
  <c r="G47" i="7" s="1"/>
  <c r="G32" i="5" l="1"/>
  <c r="G33" i="5" s="1"/>
  <c r="G39" i="5" s="1"/>
  <c r="H64" i="1"/>
  <c r="C42" i="5" l="1"/>
  <c r="G42" i="5" s="1"/>
  <c r="C43" i="5" s="1"/>
  <c r="G43" i="5" s="1"/>
  <c r="G45" i="5" l="1"/>
  <c r="G46" i="5" s="1"/>
</calcChain>
</file>

<file path=xl/sharedStrings.xml><?xml version="1.0" encoding="utf-8"?>
<sst xmlns="http://schemas.openxmlformats.org/spreadsheetml/2006/main" count="556" uniqueCount="186">
  <si>
    <t>Generation Calculator Example for Scenario Analysis</t>
  </si>
  <si>
    <t>Results are not guaranteed correct. Only online calculator results from selfgenca.com will be considered for reservation requests.</t>
  </si>
  <si>
    <t>Inputs:</t>
  </si>
  <si>
    <t>Enter all gray fields below</t>
  </si>
  <si>
    <t>Notes:</t>
  </si>
  <si>
    <t>Program Year</t>
  </si>
  <si>
    <t>Select the current year</t>
  </si>
  <si>
    <t>Step</t>
  </si>
  <si>
    <t>Refer to the Step Tracker in the public Program Metrics page to identify the currently active step</t>
  </si>
  <si>
    <t>Equipment Type</t>
  </si>
  <si>
    <t>Wind</t>
  </si>
  <si>
    <t>Equipment Type Incentive Rate</t>
  </si>
  <si>
    <t>Refer to the Incentive Tracker in the public Program Metrics page to identify the corresponding incentive rate for your equipment type</t>
  </si>
  <si>
    <t>Total Requested Equipment Capacity (kW)</t>
  </si>
  <si>
    <t>Is CA Manufacturer?</t>
  </si>
  <si>
    <t>Previous SGIP Generation Capacity (kW)</t>
  </si>
  <si>
    <t>Amount of existing or paired generation capacity that is or will be incentiviced by SGIP</t>
  </si>
  <si>
    <t>Is Export to Grid?</t>
  </si>
  <si>
    <t>no</t>
  </si>
  <si>
    <t>Equipment Capacity Factor</t>
  </si>
  <si>
    <t>Expected Onsite Load (kWh/year)</t>
  </si>
  <si>
    <t>Only required if this is an Export to Grid project.</t>
  </si>
  <si>
    <t>Eligible Capacity Override (W)</t>
  </si>
  <si>
    <t>Is the equipment Fueled?</t>
  </si>
  <si>
    <t>% of Fuel From Renewable Source</t>
  </si>
  <si>
    <t>Fuel blending minum is 10% in 2017, 25% in 2018, 50% in 2019, and 100% in 2020</t>
  </si>
  <si>
    <t>% of Fuel From Non-Renewable Source</t>
  </si>
  <si>
    <t>Biogas Incentive Rate ($/Watt)</t>
  </si>
  <si>
    <t>Minimum Fuel Blending Percentage</t>
  </si>
  <si>
    <t>Is Renewable Fuel Onsite?</t>
  </si>
  <si>
    <t>Natural Gas Contract Price ($/MMBtu)</t>
  </si>
  <si>
    <t>Directed Biogas Contract Price ($/MMBtu)</t>
  </si>
  <si>
    <t>Only required if the renewable fuel is directed.</t>
  </si>
  <si>
    <t>Generator System Heat Rate (Btu/kWh)</t>
  </si>
  <si>
    <t>Annual Fuel Consumption (MMBtu)</t>
  </si>
  <si>
    <t>DBG Contract Premium</t>
  </si>
  <si>
    <t>10 Year Contract Premium</t>
  </si>
  <si>
    <t>Total Project Cost</t>
  </si>
  <si>
    <t>Other IOU Incentive</t>
  </si>
  <si>
    <t>Other Non-IOU Incentive</t>
  </si>
  <si>
    <t>Non-Ratepayer Incentive</t>
  </si>
  <si>
    <t>ITC as a % of TEPC</t>
  </si>
  <si>
    <t>Renewable Generation Resiliency Adder?</t>
  </si>
  <si>
    <t>Results:</t>
  </si>
  <si>
    <t>Incentive Calculation</t>
  </si>
  <si>
    <t>Equipment Incentive</t>
  </si>
  <si>
    <t>0-1 MW</t>
  </si>
  <si>
    <t>&gt;1-2 MW</t>
  </si>
  <si>
    <t>&gt;2-3  MW</t>
  </si>
  <si>
    <t>Total Dollars</t>
  </si>
  <si>
    <t>Incentive Rate [$/W]</t>
  </si>
  <si>
    <t>Previous SGIP Capacity [W]</t>
  </si>
  <si>
    <t>Capacity [W]</t>
  </si>
  <si>
    <t>Eligible Capacity [W]</t>
  </si>
  <si>
    <t>Base Equipment Incentive</t>
  </si>
  <si>
    <t>CA Manufacturer Adder</t>
  </si>
  <si>
    <t>Max Equipment Incentive</t>
  </si>
  <si>
    <t xml:space="preserve">a) </t>
  </si>
  <si>
    <t>Renewable Generation Resiliency Adder</t>
  </si>
  <si>
    <t>Resiliency Adder</t>
  </si>
  <si>
    <t>b)</t>
  </si>
  <si>
    <t>Biogas Adder</t>
  </si>
  <si>
    <t>Pro-Rated Biogas Capacity</t>
  </si>
  <si>
    <t xml:space="preserve">Pro-Rated Biogas Adder Ammount </t>
  </si>
  <si>
    <t xml:space="preserve">b) </t>
  </si>
  <si>
    <t>DBG Premium Cap</t>
  </si>
  <si>
    <t xml:space="preserve">c) </t>
  </si>
  <si>
    <t>Adjusted Biogas Adder</t>
  </si>
  <si>
    <t xml:space="preserve">[Lesser of b or c] d) </t>
  </si>
  <si>
    <t>Other Incentives</t>
  </si>
  <si>
    <t>Impact on SGIP Incentive</t>
  </si>
  <si>
    <t>Other IOU Incentive (100%)</t>
  </si>
  <si>
    <t>c)</t>
  </si>
  <si>
    <t>Other Non-IOU Incentive (50%)</t>
  </si>
  <si>
    <t>d)</t>
  </si>
  <si>
    <t>Non-Ratepayer Incentive (0%)</t>
  </si>
  <si>
    <t>Investment Tax Credit (0%)</t>
  </si>
  <si>
    <t>Adjusted Equipment Incentive</t>
  </si>
  <si>
    <t>a+c+d = e)</t>
  </si>
  <si>
    <t>Total Other Incentives</t>
  </si>
  <si>
    <t>f)</t>
  </si>
  <si>
    <t>SGIP Incentive Adjustments</t>
  </si>
  <si>
    <t xml:space="preserve">Equipment Incentive + </t>
  </si>
  <si>
    <t xml:space="preserve">Resiliency Adder + </t>
  </si>
  <si>
    <t>Total Other Incentive</t>
  </si>
  <si>
    <t>&lt;= Incentive Cap(s)</t>
  </si>
  <si>
    <t>Incentive Adjustment</t>
  </si>
  <si>
    <t>Project Incentive Cap (Equipment and Biogas)</t>
  </si>
  <si>
    <t>g)</t>
  </si>
  <si>
    <t>h)</t>
  </si>
  <si>
    <t>Eligible Cost Cap (All Incentives)</t>
  </si>
  <si>
    <t>g+h=i)</t>
  </si>
  <si>
    <t>j)</t>
  </si>
  <si>
    <t>k)</t>
  </si>
  <si>
    <t>Biogas Incentive</t>
  </si>
  <si>
    <t>Elgible Resiliency Generation Adder</t>
  </si>
  <si>
    <t>Calculated SGIP Incentive</t>
  </si>
  <si>
    <t>Footnotes:</t>
  </si>
  <si>
    <r>
      <t>*</t>
    </r>
    <r>
      <rPr>
        <b/>
        <sz val="14"/>
        <color theme="1"/>
        <rFont val="Calibri"/>
        <family val="2"/>
        <scheme val="minor"/>
      </rPr>
      <t xml:space="preserve"> h = 0 if e+b &lt;= $5M, </t>
    </r>
    <r>
      <rPr>
        <sz val="14"/>
        <color theme="1"/>
        <rFont val="Calibri"/>
        <family val="2"/>
        <scheme val="minor"/>
      </rPr>
      <t>otherwise i = $5M - (e+b)</t>
    </r>
  </si>
  <si>
    <r>
      <rPr>
        <b/>
        <sz val="14"/>
        <color theme="1"/>
        <rFont val="Calibri"/>
        <family val="2"/>
        <scheme val="minor"/>
      </rPr>
      <t>* j = 0 if  e+b+f &lt;= Total Eligible Cost,</t>
    </r>
    <r>
      <rPr>
        <sz val="14"/>
        <color theme="1"/>
        <rFont val="Calibri"/>
        <family val="2"/>
        <scheme val="minor"/>
      </rPr>
      <t xml:space="preserve"> otherwise j = Total Eligible Cost - (e+b+f)</t>
    </r>
  </si>
  <si>
    <t>* k = i + j</t>
  </si>
  <si>
    <t>Updated: April 2017</t>
  </si>
  <si>
    <t>Gas Turbine</t>
  </si>
  <si>
    <t xml:space="preserve">e) </t>
  </si>
  <si>
    <t xml:space="preserve">f) </t>
  </si>
  <si>
    <t>a+e+f = g)</t>
  </si>
  <si>
    <t xml:space="preserve">Biogas Adder + </t>
  </si>
  <si>
    <t>i)</t>
  </si>
  <si>
    <t>i+j=k)</t>
  </si>
  <si>
    <t>l)</t>
  </si>
  <si>
    <t>m)</t>
  </si>
  <si>
    <r>
      <t>*</t>
    </r>
    <r>
      <rPr>
        <b/>
        <sz val="14"/>
        <color theme="1"/>
        <rFont val="Calibri"/>
        <family val="2"/>
        <scheme val="minor"/>
      </rPr>
      <t xml:space="preserve"> j = 0 if g+d &lt;= $5M, </t>
    </r>
    <r>
      <rPr>
        <sz val="14"/>
        <color theme="1"/>
        <rFont val="Calibri"/>
        <family val="2"/>
        <scheme val="minor"/>
      </rPr>
      <t>otherwise k = $5M - (g+d)</t>
    </r>
  </si>
  <si>
    <r>
      <rPr>
        <b/>
        <sz val="14"/>
        <color theme="1"/>
        <rFont val="Calibri"/>
        <family val="2"/>
        <scheme val="minor"/>
      </rPr>
      <t>* l = 0 if  g+d+h &lt;= Total Eligible Cost,</t>
    </r>
    <r>
      <rPr>
        <sz val="14"/>
        <color theme="1"/>
        <rFont val="Calibri"/>
        <family val="2"/>
        <scheme val="minor"/>
      </rPr>
      <t xml:space="preserve"> otherwise l = Total Eligible Cost - (g+d+h)</t>
    </r>
  </si>
  <si>
    <t>* m = k + l</t>
  </si>
  <si>
    <t>Energy Storage Calculator Example for Scenario Analysis</t>
  </si>
  <si>
    <t>Incentive Step</t>
  </si>
  <si>
    <t>See public Program Metrics to identify the current incentive step</t>
  </si>
  <si>
    <t>Incentive Rate ($/Wh)</t>
  </si>
  <si>
    <t>See public Program Metrics to identify the current incentive rate</t>
  </si>
  <si>
    <t>System Rated Capacity (kW)</t>
  </si>
  <si>
    <t>Hours Duration (hours)</t>
  </si>
  <si>
    <t>Battery Energy Storage Capacity (kWh)</t>
  </si>
  <si>
    <t>Avg. Wh Discharge Per Hour</t>
  </si>
  <si>
    <t>No</t>
  </si>
  <si>
    <t>Enter "Yes" if your equipment is manufactured by an SGIP-approved California manufacturer or "No" if not.</t>
  </si>
  <si>
    <t>Other Onsite SGIP Storage Energy Capacity (Wh)</t>
  </si>
  <si>
    <t>If Hours Discharge is unknown, assume a 2-hour discharge rate</t>
  </si>
  <si>
    <t>Total Eligible Project Cost (TEPC)</t>
  </si>
  <si>
    <t>Investment Tax Credit (ITC) as a % ot TEPC</t>
  </si>
  <si>
    <t>General Market Non-Residential Resiliency Adder?</t>
  </si>
  <si>
    <t>Large scale storage customers with critical resiliency needs have the option to receive a $0.15/Wh resiliency adder. See Program Handbook for details.</t>
  </si>
  <si>
    <t>Opt out of resiliency operational requirements?</t>
  </si>
  <si>
    <t>Applicants can choose to opt-out of resiliency operational requirements resulting in a decreased incentive. If opting into the large-scale resiliency adder, you can not opt out of resiliency operational requirements. See Program Handbook for details.</t>
  </si>
  <si>
    <t xml:space="preserve">Incentive Step:  </t>
  </si>
  <si>
    <t>Reference Table</t>
  </si>
  <si>
    <t>0-2 MWH</t>
  </si>
  <si>
    <t>&gt;2-4 MWH</t>
  </si>
  <si>
    <t>&gt;4-6 MWH</t>
  </si>
  <si>
    <t>0-2 HOURS</t>
  </si>
  <si>
    <t>2-4 HOURS</t>
  </si>
  <si>
    <t>4-6 HOURS</t>
  </si>
  <si>
    <t>Existing Onsite Equipment Off-Set</t>
  </si>
  <si>
    <t>Eligible Capacity [Wh]</t>
  </si>
  <si>
    <t>Resiliency Adder +</t>
  </si>
  <si>
    <t>Project Incentive Cap (Equipment)</t>
  </si>
  <si>
    <t>g+h= i)</t>
  </si>
  <si>
    <t>Resiliency Adder Incentive</t>
  </si>
  <si>
    <r>
      <t>*</t>
    </r>
    <r>
      <rPr>
        <b/>
        <sz val="14"/>
        <color theme="1"/>
        <rFont val="Calibri"/>
        <family val="2"/>
        <scheme val="minor"/>
      </rPr>
      <t xml:space="preserve"> h = 0 if f &lt;= $5M, </t>
    </r>
    <r>
      <rPr>
        <sz val="14"/>
        <color theme="1"/>
        <rFont val="Calibri"/>
        <family val="2"/>
        <scheme val="minor"/>
      </rPr>
      <t>otherwise g = $5M - f</t>
    </r>
  </si>
  <si>
    <r>
      <rPr>
        <b/>
        <sz val="14"/>
        <color theme="1"/>
        <rFont val="Calibri"/>
        <family val="2"/>
        <scheme val="minor"/>
      </rPr>
      <t>* j= 0 if  i+f &lt;= Total Eligible Cost,</t>
    </r>
    <r>
      <rPr>
        <sz val="14"/>
        <color theme="1"/>
        <rFont val="Calibri"/>
        <family val="2"/>
        <scheme val="minor"/>
      </rPr>
      <t xml:space="preserve"> otherwise j = Total Eligible Cost - (i+f)</t>
    </r>
  </si>
  <si>
    <t>N/A</t>
  </si>
  <si>
    <t>Enter "TRUE" if your equipment is manufactured by an SGIP-approved California manufacturer or "FALSE" if not.</t>
  </si>
  <si>
    <t>Total Eligible Project Cost</t>
  </si>
  <si>
    <t>Residential Storage Equity applicants can choose to opt-out of resiliency operational requirements resulting in a decreased incentive. See Program Handbook for details.</t>
  </si>
  <si>
    <t>Investment Tax Credit</t>
  </si>
  <si>
    <t>a+b+c = d)</t>
  </si>
  <si>
    <t>e)</t>
  </si>
  <si>
    <t>f+g= h)</t>
  </si>
  <si>
    <r>
      <t>*</t>
    </r>
    <r>
      <rPr>
        <b/>
        <sz val="14"/>
        <color theme="1"/>
        <rFont val="Calibri"/>
        <family val="2"/>
        <scheme val="minor"/>
      </rPr>
      <t xml:space="preserve"> g = 0 if f &lt;= $5M, </t>
    </r>
    <r>
      <rPr>
        <sz val="14"/>
        <color theme="1"/>
        <rFont val="Calibri"/>
        <family val="2"/>
        <scheme val="minor"/>
      </rPr>
      <t>otherwise g = $5M - f</t>
    </r>
  </si>
  <si>
    <r>
      <rPr>
        <b/>
        <sz val="14"/>
        <color theme="1"/>
        <rFont val="Calibri"/>
        <family val="2"/>
        <scheme val="minor"/>
      </rPr>
      <t>* i= 0 if  h+i &lt;= Total Eligible Cost,</t>
    </r>
    <r>
      <rPr>
        <sz val="14"/>
        <color theme="1"/>
        <rFont val="Calibri"/>
        <family val="2"/>
        <scheme val="minor"/>
      </rPr>
      <t xml:space="preserve"> otherwise i = Total Eligible Cost - (h+i)</t>
    </r>
  </si>
  <si>
    <t>* j = h + i</t>
  </si>
  <si>
    <r>
      <rPr>
        <b/>
        <sz val="14"/>
        <color theme="1"/>
        <rFont val="Calibri"/>
        <family val="2"/>
        <scheme val="minor"/>
      </rPr>
      <t>* i= 0 if  h+e &lt;= Total Eligible Cost,</t>
    </r>
    <r>
      <rPr>
        <sz val="14"/>
        <color theme="1"/>
        <rFont val="Calibri"/>
        <family val="2"/>
        <scheme val="minor"/>
      </rPr>
      <t xml:space="preserve"> otherwise i = Total Eligible Cost - (h+e)</t>
    </r>
  </si>
  <si>
    <t>Updated: February 2020</t>
  </si>
  <si>
    <t>Note that until April 1st, this calculator only applies to Single Family Residential projects applying to Residential Storage Equity or Equity Resiliency.</t>
  </si>
  <si>
    <t>Step 1</t>
  </si>
  <si>
    <t>Step 2</t>
  </si>
  <si>
    <t>Step 3</t>
  </si>
  <si>
    <t>Minimum Fuel Blending</t>
  </si>
  <si>
    <t>Pressure Reduction Turbine</t>
  </si>
  <si>
    <t>Waste Heat to Power</t>
  </si>
  <si>
    <t>Steam Turbine</t>
  </si>
  <si>
    <t>Internal Combustion Engine</t>
  </si>
  <si>
    <t>Fuel Cell Electric</t>
  </si>
  <si>
    <t>Fuel Cell CHP</t>
  </si>
  <si>
    <t>Biogas</t>
  </si>
  <si>
    <t>Step 4</t>
  </si>
  <si>
    <t>Step 5</t>
  </si>
  <si>
    <t>Energy Storage + ITC</t>
  </si>
  <si>
    <t>Energy Storage</t>
  </si>
  <si>
    <t>Program Years</t>
  </si>
  <si>
    <t>Generation Steps</t>
  </si>
  <si>
    <t>Storage Steps</t>
  </si>
  <si>
    <t>Is Export to Grid</t>
  </si>
  <si>
    <t>yes</t>
  </si>
  <si>
    <t>Yes</t>
  </si>
  <si>
    <t>Updated: October 2020</t>
  </si>
  <si>
    <t>Base Incentive Rate [$/Wh]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</si>
</sst>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0.00"/>
    <numFmt numFmtId="166" formatCode="&quot;$&quot;#,##0.0_);[Red]\(&quot;$&quot;#,##0.0\)"/>
    <numFmt numFmtId="167" formatCode="_(* #,##0_);_(* \(#,##0\);_(* &quot;-&quot;??_);_(@_)"/>
    <numFmt numFmtId="168" formatCode="&quot;$&quot;#,##0.00;[Red]&quot;$&quot;#,##0.00"/>
    <numFmt numFmtId="169" formatCode="_([$$-409]* #,##0.00_);_([$$-409]* \(#,##0.00\);_([$$-409]* &quot;-&quot;??_);_(@_)"/>
    <numFmt numFmtId="170" formatCode="0.0%"/>
    <numFmt numFmtId="171" formatCode="&quot;$&quot;#,##0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 (Body)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 (Body)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b/>
      <sz val="14"/>
      <color theme="6" tint="0.39997558519241921"/>
      <name val="Calibri"/>
      <family val="2"/>
      <scheme val="minor"/>
    </font>
    <font>
      <sz val="14"/>
      <color theme="7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8">
    <xf numFmtId="0" fontId="0" fillId="0" borderId="0" xfId="0"/>
    <xf numFmtId="0" fontId="0" fillId="4" borderId="0" xfId="0" applyFill="1"/>
    <xf numFmtId="9" fontId="0" fillId="0" borderId="0" xfId="0" applyNumberFormat="1"/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9" fontId="0" fillId="0" borderId="0" xfId="3" applyFont="1" applyFill="1" applyBorder="1" applyProtection="1">
      <protection locked="0"/>
    </xf>
    <xf numFmtId="0" fontId="3" fillId="0" borderId="0" xfId="0" applyFont="1"/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0" fontId="8" fillId="4" borderId="0" xfId="0" applyFont="1" applyFill="1"/>
    <xf numFmtId="0" fontId="7" fillId="5" borderId="5" xfId="0" applyFont="1" applyFill="1" applyBorder="1" applyAlignment="1" applyProtection="1">
      <alignment horizontal="right"/>
      <protection locked="0"/>
    </xf>
    <xf numFmtId="44" fontId="7" fillId="5" borderId="5" xfId="2" applyFont="1" applyFill="1" applyBorder="1" applyAlignment="1" applyProtection="1">
      <alignment horizontal="right"/>
      <protection locked="0"/>
    </xf>
    <xf numFmtId="165" fontId="7" fillId="5" borderId="5" xfId="0" applyNumberFormat="1" applyFont="1" applyFill="1" applyBorder="1" applyAlignment="1" applyProtection="1">
      <alignment horizontal="right"/>
      <protection locked="0"/>
    </xf>
    <xf numFmtId="0" fontId="12" fillId="4" borderId="0" xfId="0" applyFont="1" applyFill="1" applyProtection="1">
      <protection locked="0"/>
    </xf>
    <xf numFmtId="0" fontId="12" fillId="4" borderId="0" xfId="0" applyFont="1" applyFill="1"/>
    <xf numFmtId="0" fontId="12" fillId="0" borderId="0" xfId="0" applyFont="1"/>
    <xf numFmtId="0" fontId="7" fillId="5" borderId="3" xfId="1" applyNumberFormat="1" applyFont="1" applyFill="1" applyBorder="1" applyAlignment="1" applyProtection="1">
      <alignment horizontal="right"/>
      <protection locked="0"/>
    </xf>
    <xf numFmtId="49" fontId="7" fillId="5" borderId="5" xfId="0" applyNumberFormat="1" applyFont="1" applyFill="1" applyBorder="1" applyAlignment="1" applyProtection="1">
      <alignment horizontal="right"/>
      <protection locked="0"/>
    </xf>
    <xf numFmtId="0" fontId="7" fillId="5" borderId="3" xfId="0" applyFont="1" applyFill="1" applyBorder="1" applyAlignment="1" applyProtection="1">
      <alignment horizontal="right"/>
      <protection locked="0"/>
    </xf>
    <xf numFmtId="9" fontId="7" fillId="5" borderId="8" xfId="3" applyFont="1" applyFill="1" applyBorder="1" applyProtection="1">
      <protection locked="0"/>
    </xf>
    <xf numFmtId="44" fontId="7" fillId="5" borderId="3" xfId="2" applyFont="1" applyFill="1" applyBorder="1" applyAlignment="1" applyProtection="1">
      <alignment horizontal="right"/>
      <protection locked="0"/>
    </xf>
    <xf numFmtId="0" fontId="0" fillId="2" borderId="2" xfId="0" applyFill="1" applyBorder="1" applyProtection="1"/>
    <xf numFmtId="0" fontId="4" fillId="2" borderId="2" xfId="0" applyFont="1" applyFill="1" applyBorder="1" applyProtection="1"/>
    <xf numFmtId="0" fontId="0" fillId="2" borderId="3" xfId="0" applyFill="1" applyBorder="1" applyProtection="1"/>
    <xf numFmtId="0" fontId="14" fillId="3" borderId="2" xfId="0" applyFont="1" applyFill="1" applyBorder="1" applyProtection="1"/>
    <xf numFmtId="165" fontId="12" fillId="6" borderId="0" xfId="0" applyNumberFormat="1" applyFont="1" applyFill="1" applyBorder="1" applyProtection="1"/>
    <xf numFmtId="0" fontId="12" fillId="6" borderId="0" xfId="0" applyFont="1" applyFill="1" applyBorder="1" applyProtection="1"/>
    <xf numFmtId="3" fontId="12" fillId="6" borderId="0" xfId="0" applyNumberFormat="1" applyFont="1" applyFill="1" applyBorder="1" applyProtection="1"/>
    <xf numFmtId="0" fontId="15" fillId="3" borderId="0" xfId="0" applyFont="1" applyFill="1" applyBorder="1" applyProtection="1"/>
    <xf numFmtId="3" fontId="12" fillId="6" borderId="0" xfId="1" applyNumberFormat="1" applyFont="1" applyFill="1" applyBorder="1" applyAlignment="1" applyProtection="1">
      <alignment horizontal="right"/>
    </xf>
    <xf numFmtId="165" fontId="12" fillId="6" borderId="0" xfId="2" applyNumberFormat="1" applyFont="1" applyFill="1" applyBorder="1" applyProtection="1"/>
    <xf numFmtId="0" fontId="14" fillId="3" borderId="0" xfId="0" applyFont="1" applyFill="1" applyBorder="1" applyProtection="1"/>
    <xf numFmtId="0" fontId="12" fillId="6" borderId="4" xfId="0" applyFont="1" applyFill="1" applyBorder="1" applyProtection="1"/>
    <xf numFmtId="0" fontId="13" fillId="6" borderId="6" xfId="0" applyFont="1" applyFill="1" applyBorder="1" applyProtection="1"/>
    <xf numFmtId="0" fontId="12" fillId="6" borderId="7" xfId="0" applyFont="1" applyFill="1" applyBorder="1" applyProtection="1"/>
    <xf numFmtId="0" fontId="0" fillId="4" borderId="0" xfId="0" applyFill="1" applyProtection="1"/>
    <xf numFmtId="0" fontId="12" fillId="4" borderId="0" xfId="0" applyFont="1" applyFill="1" applyProtection="1"/>
    <xf numFmtId="0" fontId="0" fillId="4" borderId="0" xfId="0" applyFill="1" applyBorder="1" applyProtection="1"/>
    <xf numFmtId="0" fontId="16" fillId="4" borderId="0" xfId="0" applyFont="1" applyFill="1" applyProtection="1"/>
    <xf numFmtId="0" fontId="0" fillId="0" borderId="0" xfId="0" applyFont="1" applyProtection="1"/>
    <xf numFmtId="0" fontId="0" fillId="0" borderId="0" xfId="0" applyProtection="1"/>
    <xf numFmtId="0" fontId="10" fillId="4" borderId="0" xfId="0" applyFont="1" applyFill="1" applyProtection="1"/>
    <xf numFmtId="0" fontId="8" fillId="0" borderId="1" xfId="0" applyFont="1" applyBorder="1" applyProtection="1"/>
    <xf numFmtId="0" fontId="8" fillId="0" borderId="4" xfId="0" applyFont="1" applyBorder="1" applyProtection="1"/>
    <xf numFmtId="0" fontId="8" fillId="0" borderId="4" xfId="0" applyFont="1" applyFill="1" applyBorder="1" applyProtection="1"/>
    <xf numFmtId="0" fontId="8" fillId="0" borderId="6" xfId="0" applyFont="1" applyFill="1" applyBorder="1" applyProtection="1"/>
    <xf numFmtId="0" fontId="10" fillId="4" borderId="0" xfId="0" applyFont="1" applyFill="1" applyBorder="1" applyProtection="1"/>
    <xf numFmtId="0" fontId="12" fillId="0" borderId="0" xfId="0" applyFont="1" applyProtection="1"/>
    <xf numFmtId="0" fontId="7" fillId="0" borderId="5" xfId="0" applyFont="1" applyFill="1" applyBorder="1" applyAlignment="1" applyProtection="1">
      <alignment horizontal="right"/>
    </xf>
    <xf numFmtId="1" fontId="7" fillId="0" borderId="5" xfId="1" applyNumberFormat="1" applyFont="1" applyFill="1" applyBorder="1" applyAlignment="1" applyProtection="1">
      <alignment horizontal="right"/>
    </xf>
    <xf numFmtId="9" fontId="7" fillId="0" borderId="5" xfId="3" applyFont="1" applyFill="1" applyBorder="1" applyAlignment="1" applyProtection="1">
      <alignment horizontal="right"/>
    </xf>
    <xf numFmtId="44" fontId="7" fillId="0" borderId="5" xfId="2" applyFont="1" applyFill="1" applyBorder="1" applyAlignment="1" applyProtection="1">
      <alignment horizontal="right"/>
    </xf>
    <xf numFmtId="165" fontId="7" fillId="0" borderId="5" xfId="0" applyNumberFormat="1" applyFont="1" applyFill="1" applyBorder="1" applyAlignment="1" applyProtection="1">
      <alignment horizontal="right"/>
    </xf>
    <xf numFmtId="0" fontId="11" fillId="4" borderId="0" xfId="0" applyFont="1" applyFill="1" applyProtection="1"/>
    <xf numFmtId="0" fontId="17" fillId="4" borderId="0" xfId="0" applyFont="1" applyFill="1" applyBorder="1" applyProtection="1"/>
    <xf numFmtId="0" fontId="11" fillId="4" borderId="0" xfId="0" applyFont="1" applyFill="1" applyBorder="1" applyProtection="1"/>
    <xf numFmtId="0" fontId="7" fillId="7" borderId="2" xfId="0" applyFont="1" applyFill="1" applyBorder="1" applyProtection="1"/>
    <xf numFmtId="0" fontId="7" fillId="7" borderId="3" xfId="0" applyFont="1" applyFill="1" applyBorder="1" applyProtection="1"/>
    <xf numFmtId="0" fontId="7" fillId="4" borderId="0" xfId="0" applyFont="1" applyFill="1"/>
    <xf numFmtId="0" fontId="7" fillId="4" borderId="0" xfId="0" applyFont="1" applyFill="1" applyProtection="1"/>
    <xf numFmtId="0" fontId="14" fillId="3" borderId="1" xfId="0" applyFont="1" applyFill="1" applyBorder="1" applyProtection="1"/>
    <xf numFmtId="0" fontId="15" fillId="3" borderId="2" xfId="0" applyFont="1" applyFill="1" applyBorder="1" applyProtection="1"/>
    <xf numFmtId="0" fontId="14" fillId="3" borderId="2" xfId="0" applyFont="1" applyFill="1" applyBorder="1" applyAlignment="1" applyProtection="1">
      <alignment horizontal="center"/>
    </xf>
    <xf numFmtId="0" fontId="14" fillId="3" borderId="3" xfId="0" applyFont="1" applyFill="1" applyBorder="1" applyProtection="1"/>
    <xf numFmtId="0" fontId="12" fillId="6" borderId="5" xfId="0" applyFont="1" applyFill="1" applyBorder="1" applyProtection="1"/>
    <xf numFmtId="3" fontId="12" fillId="6" borderId="5" xfId="0" applyNumberFormat="1" applyFont="1" applyFill="1" applyBorder="1" applyProtection="1"/>
    <xf numFmtId="44" fontId="12" fillId="6" borderId="5" xfId="2" applyFont="1" applyFill="1" applyBorder="1" applyProtection="1"/>
    <xf numFmtId="0" fontId="13" fillId="6" borderId="4" xfId="0" applyFont="1" applyFill="1" applyBorder="1" applyProtection="1"/>
    <xf numFmtId="0" fontId="12" fillId="6" borderId="0" xfId="0" applyFont="1" applyFill="1" applyBorder="1" applyAlignment="1" applyProtection="1">
      <alignment horizontal="right"/>
    </xf>
    <xf numFmtId="0" fontId="14" fillId="3" borderId="4" xfId="0" applyFont="1" applyFill="1" applyBorder="1" applyProtection="1"/>
    <xf numFmtId="0" fontId="15" fillId="3" borderId="5" xfId="0" applyFont="1" applyFill="1" applyBorder="1" applyProtection="1"/>
    <xf numFmtId="165" fontId="12" fillId="6" borderId="5" xfId="1" applyNumberFormat="1" applyFont="1" applyFill="1" applyBorder="1" applyProtection="1"/>
    <xf numFmtId="0" fontId="14" fillId="3" borderId="5" xfId="0" applyFont="1" applyFill="1" applyBorder="1" applyAlignment="1" applyProtection="1">
      <alignment horizontal="right"/>
    </xf>
    <xf numFmtId="164" fontId="18" fillId="6" borderId="5" xfId="0" applyNumberFormat="1" applyFont="1" applyFill="1" applyBorder="1" applyProtection="1"/>
    <xf numFmtId="0" fontId="19" fillId="6" borderId="4" xfId="0" applyFont="1" applyFill="1" applyBorder="1" applyProtection="1"/>
    <xf numFmtId="165" fontId="13" fillId="6" borderId="5" xfId="0" applyNumberFormat="1" applyFont="1" applyFill="1" applyBorder="1" applyProtection="1"/>
    <xf numFmtId="8" fontId="12" fillId="6" borderId="0" xfId="0" applyNumberFormat="1" applyFont="1" applyFill="1" applyBorder="1" applyAlignment="1" applyProtection="1">
      <alignment horizontal="right"/>
    </xf>
    <xf numFmtId="166" fontId="12" fillId="6" borderId="0" xfId="0" applyNumberFormat="1" applyFont="1" applyFill="1" applyBorder="1" applyAlignment="1" applyProtection="1">
      <alignment horizontal="right"/>
    </xf>
    <xf numFmtId="165" fontId="12" fillId="6" borderId="0" xfId="0" applyNumberFormat="1" applyFont="1" applyFill="1" applyBorder="1" applyAlignment="1" applyProtection="1">
      <alignment horizontal="right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8" fillId="0" borderId="6" xfId="0" applyFont="1" applyBorder="1" applyProtection="1"/>
    <xf numFmtId="43" fontId="7" fillId="0" borderId="8" xfId="1" applyFont="1" applyFill="1" applyBorder="1" applyAlignment="1" applyProtection="1">
      <alignment horizontal="right"/>
    </xf>
    <xf numFmtId="0" fontId="18" fillId="4" borderId="0" xfId="0" applyFont="1" applyFill="1"/>
    <xf numFmtId="44" fontId="13" fillId="6" borderId="5" xfId="2" applyFont="1" applyFill="1" applyBorder="1" applyProtection="1"/>
    <xf numFmtId="44" fontId="13" fillId="6" borderId="8" xfId="2" applyFont="1" applyFill="1" applyBorder="1" applyProtection="1"/>
    <xf numFmtId="0" fontId="8" fillId="4" borderId="0" xfId="0" applyFont="1" applyFill="1" applyBorder="1" applyProtection="1"/>
    <xf numFmtId="0" fontId="9" fillId="4" borderId="1" xfId="0" applyFont="1" applyFill="1" applyBorder="1" applyProtection="1"/>
    <xf numFmtId="0" fontId="8" fillId="4" borderId="4" xfId="0" applyFont="1" applyFill="1" applyBorder="1" applyProtection="1"/>
    <xf numFmtId="0" fontId="8" fillId="4" borderId="6" xfId="0" applyFont="1" applyFill="1" applyBorder="1" applyProtection="1"/>
    <xf numFmtId="0" fontId="12" fillId="4" borderId="0" xfId="0" applyFont="1" applyFill="1" applyBorder="1" applyProtection="1"/>
    <xf numFmtId="0" fontId="14" fillId="8" borderId="9" xfId="0" applyFont="1" applyFill="1" applyBorder="1" applyProtection="1"/>
    <xf numFmtId="0" fontId="14" fillId="8" borderId="1" xfId="0" applyFont="1" applyFill="1" applyBorder="1" applyProtection="1"/>
    <xf numFmtId="0" fontId="14" fillId="8" borderId="2" xfId="0" applyFont="1" applyFill="1" applyBorder="1" applyProtection="1"/>
    <xf numFmtId="0" fontId="15" fillId="8" borderId="2" xfId="0" applyFont="1" applyFill="1" applyBorder="1" applyProtection="1"/>
    <xf numFmtId="0" fontId="14" fillId="8" borderId="3" xfId="0" applyFont="1" applyFill="1" applyBorder="1" applyProtection="1"/>
    <xf numFmtId="0" fontId="14" fillId="8" borderId="10" xfId="0" applyFont="1" applyFill="1" applyBorder="1" applyProtection="1"/>
    <xf numFmtId="0" fontId="14" fillId="8" borderId="4" xfId="0" applyFont="1" applyFill="1" applyBorder="1" applyProtection="1"/>
    <xf numFmtId="0" fontId="14" fillId="8" borderId="0" xfId="0" applyFont="1" applyFill="1" applyBorder="1" applyProtection="1"/>
    <xf numFmtId="0" fontId="15" fillId="8" borderId="0" xfId="0" applyFont="1" applyFill="1" applyBorder="1" applyProtection="1"/>
    <xf numFmtId="0" fontId="14" fillId="8" borderId="5" xfId="0" applyFont="1" applyFill="1" applyBorder="1" applyProtection="1"/>
    <xf numFmtId="9" fontId="20" fillId="9" borderId="0" xfId="0" applyNumberFormat="1" applyFont="1" applyFill="1" applyBorder="1" applyProtection="1"/>
    <xf numFmtId="0" fontId="15" fillId="9" borderId="0" xfId="0" applyFont="1" applyFill="1" applyBorder="1" applyProtection="1"/>
    <xf numFmtId="0" fontId="14" fillId="9" borderId="5" xfId="0" applyFont="1" applyFill="1" applyBorder="1" applyProtection="1"/>
    <xf numFmtId="10" fontId="20" fillId="9" borderId="0" xfId="0" applyNumberFormat="1" applyFont="1" applyFill="1" applyBorder="1" applyProtection="1"/>
    <xf numFmtId="167" fontId="14" fillId="8" borderId="0" xfId="56" applyNumberFormat="1" applyFont="1" applyFill="1" applyBorder="1" applyProtection="1"/>
    <xf numFmtId="0" fontId="21" fillId="8" borderId="4" xfId="0" applyFont="1" applyFill="1" applyBorder="1" applyProtection="1"/>
    <xf numFmtId="167" fontId="22" fillId="9" borderId="0" xfId="56" applyNumberFormat="1" applyFont="1" applyFill="1" applyBorder="1" applyProtection="1"/>
    <xf numFmtId="167" fontId="12" fillId="9" borderId="0" xfId="56" applyNumberFormat="1" applyFont="1" applyFill="1" applyBorder="1" applyProtection="1"/>
    <xf numFmtId="0" fontId="15" fillId="9" borderId="5" xfId="0" applyFont="1" applyFill="1" applyBorder="1" applyProtection="1"/>
    <xf numFmtId="0" fontId="12" fillId="9" borderId="10" xfId="0" applyFont="1" applyFill="1" applyBorder="1" applyProtection="1"/>
    <xf numFmtId="0" fontId="12" fillId="9" borderId="4" xfId="0" applyFont="1" applyFill="1" applyBorder="1" applyProtection="1"/>
    <xf numFmtId="0" fontId="12" fillId="9" borderId="0" xfId="0" applyFont="1" applyFill="1" applyProtection="1"/>
    <xf numFmtId="165" fontId="12" fillId="9" borderId="0" xfId="0" applyNumberFormat="1" applyFont="1" applyFill="1" applyBorder="1" applyProtection="1"/>
    <xf numFmtId="0" fontId="12" fillId="9" borderId="0" xfId="0" applyFont="1" applyFill="1" applyBorder="1" applyProtection="1"/>
    <xf numFmtId="168" fontId="20" fillId="9" borderId="5" xfId="0" applyNumberFormat="1" applyFont="1" applyFill="1" applyBorder="1" applyProtection="1"/>
    <xf numFmtId="0" fontId="20" fillId="9" borderId="5" xfId="0" applyFont="1" applyFill="1" applyBorder="1" applyProtection="1"/>
    <xf numFmtId="0" fontId="13" fillId="9" borderId="10" xfId="0" applyFont="1" applyFill="1" applyBorder="1" applyProtection="1"/>
    <xf numFmtId="0" fontId="13" fillId="9" borderId="4" xfId="0" applyFont="1" applyFill="1" applyBorder="1" applyProtection="1"/>
    <xf numFmtId="168" fontId="14" fillId="9" borderId="0" xfId="0" applyNumberFormat="1" applyFont="1" applyFill="1" applyBorder="1" applyProtection="1"/>
    <xf numFmtId="0" fontId="12" fillId="9" borderId="0" xfId="0" applyFont="1" applyFill="1" applyBorder="1" applyAlignment="1" applyProtection="1">
      <alignment horizontal="right"/>
    </xf>
    <xf numFmtId="165" fontId="13" fillId="9" borderId="5" xfId="55" applyNumberFormat="1" applyFont="1" applyFill="1" applyBorder="1" applyProtection="1"/>
    <xf numFmtId="0" fontId="14" fillId="8" borderId="5" xfId="0" applyFont="1" applyFill="1" applyBorder="1" applyAlignment="1" applyProtection="1">
      <alignment horizontal="right"/>
    </xf>
    <xf numFmtId="165" fontId="12" fillId="9" borderId="5" xfId="0" applyNumberFormat="1" applyFont="1" applyFill="1" applyBorder="1" applyProtection="1"/>
    <xf numFmtId="0" fontId="12" fillId="0" borderId="0" xfId="0" applyFont="1" applyFill="1"/>
    <xf numFmtId="0" fontId="12" fillId="9" borderId="5" xfId="0" applyFont="1" applyFill="1" applyBorder="1" applyProtection="1"/>
    <xf numFmtId="0" fontId="19" fillId="9" borderId="10" xfId="0" applyFont="1" applyFill="1" applyBorder="1" applyProtection="1"/>
    <xf numFmtId="0" fontId="19" fillId="9" borderId="4" xfId="0" applyFont="1" applyFill="1" applyBorder="1" applyAlignment="1" applyProtection="1">
      <alignment horizontal="right"/>
    </xf>
    <xf numFmtId="165" fontId="13" fillId="9" borderId="5" xfId="0" applyNumberFormat="1" applyFont="1" applyFill="1" applyBorder="1" applyProtection="1"/>
    <xf numFmtId="0" fontId="12" fillId="9" borderId="4" xfId="0" applyFont="1" applyFill="1" applyBorder="1" applyAlignment="1" applyProtection="1">
      <alignment horizontal="right"/>
    </xf>
    <xf numFmtId="0" fontId="14" fillId="8" borderId="4" xfId="0" applyFont="1" applyFill="1" applyBorder="1" applyAlignment="1" applyProtection="1">
      <alignment horizontal="right"/>
    </xf>
    <xf numFmtId="8" fontId="12" fillId="9" borderId="0" xfId="0" applyNumberFormat="1" applyFont="1" applyFill="1" applyBorder="1" applyAlignment="1" applyProtection="1">
      <alignment horizontal="right"/>
    </xf>
    <xf numFmtId="166" fontId="12" fillId="9" borderId="0" xfId="0" applyNumberFormat="1" applyFont="1" applyFill="1" applyBorder="1" applyAlignment="1" applyProtection="1">
      <alignment horizontal="right"/>
    </xf>
    <xf numFmtId="165" fontId="12" fillId="9" borderId="0" xfId="0" applyNumberFormat="1" applyFont="1" applyFill="1" applyBorder="1" applyAlignment="1" applyProtection="1">
      <alignment horizontal="right"/>
    </xf>
    <xf numFmtId="0" fontId="13" fillId="9" borderId="11" xfId="0" applyFont="1" applyFill="1" applyBorder="1" applyProtection="1"/>
    <xf numFmtId="0" fontId="13" fillId="9" borderId="6" xfId="0" applyFont="1" applyFill="1" applyBorder="1" applyProtection="1"/>
    <xf numFmtId="0" fontId="12" fillId="9" borderId="7" xfId="0" applyFont="1" applyFill="1" applyBorder="1" applyProtection="1"/>
    <xf numFmtId="165" fontId="13" fillId="9" borderId="8" xfId="0" applyNumberFormat="1" applyFont="1" applyFill="1" applyBorder="1" applyProtection="1"/>
    <xf numFmtId="0" fontId="12" fillId="4" borderId="0" xfId="0" applyFont="1" applyFill="1" applyBorder="1" applyAlignment="1" applyProtection="1"/>
    <xf numFmtId="0" fontId="7" fillId="0" borderId="0" xfId="0" applyFont="1"/>
    <xf numFmtId="0" fontId="13" fillId="4" borderId="0" xfId="0" applyFont="1" applyFill="1" applyProtection="1"/>
    <xf numFmtId="0" fontId="23" fillId="4" borderId="0" xfId="0" applyFont="1" applyFill="1" applyProtection="1"/>
    <xf numFmtId="0" fontId="23" fillId="10" borderId="0" xfId="0" applyFont="1" applyFill="1"/>
    <xf numFmtId="2" fontId="7" fillId="5" borderId="5" xfId="1" applyNumberFormat="1" applyFont="1" applyFill="1" applyBorder="1" applyAlignment="1" applyProtection="1">
      <alignment horizontal="right"/>
      <protection locked="0"/>
    </xf>
    <xf numFmtId="2" fontId="7" fillId="5" borderId="5" xfId="0" applyNumberFormat="1" applyFont="1" applyFill="1" applyBorder="1" applyAlignment="1" applyProtection="1">
      <alignment horizontal="right"/>
      <protection locked="0"/>
    </xf>
    <xf numFmtId="169" fontId="7" fillId="5" borderId="8" xfId="2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0" fontId="16" fillId="4" borderId="0" xfId="0" applyFont="1" applyFill="1"/>
    <xf numFmtId="0" fontId="11" fillId="4" borderId="0" xfId="0" applyFont="1" applyFill="1"/>
    <xf numFmtId="0" fontId="17" fillId="4" borderId="0" xfId="0" applyFont="1" applyFill="1"/>
    <xf numFmtId="0" fontId="9" fillId="4" borderId="1" xfId="0" applyFont="1" applyFill="1" applyBorder="1"/>
    <xf numFmtId="0" fontId="8" fillId="4" borderId="4" xfId="0" applyFont="1" applyFill="1" applyBorder="1"/>
    <xf numFmtId="0" fontId="8" fillId="4" borderId="6" xfId="0" applyFont="1" applyFill="1" applyBorder="1"/>
    <xf numFmtId="0" fontId="10" fillId="4" borderId="0" xfId="0" applyFont="1" applyFill="1"/>
    <xf numFmtId="0" fontId="7" fillId="7" borderId="2" xfId="0" applyFont="1" applyFill="1" applyBorder="1"/>
    <xf numFmtId="0" fontId="7" fillId="7" borderId="3" xfId="0" applyFont="1" applyFill="1" applyBorder="1"/>
    <xf numFmtId="0" fontId="14" fillId="8" borderId="9" xfId="0" applyFont="1" applyFill="1" applyBorder="1"/>
    <xf numFmtId="0" fontId="14" fillId="8" borderId="1" xfId="0" applyFont="1" applyFill="1" applyBorder="1"/>
    <xf numFmtId="0" fontId="14" fillId="8" borderId="2" xfId="0" applyFont="1" applyFill="1" applyBorder="1"/>
    <xf numFmtId="0" fontId="15" fillId="8" borderId="2" xfId="0" applyFont="1" applyFill="1" applyBorder="1"/>
    <xf numFmtId="0" fontId="14" fillId="8" borderId="3" xfId="0" applyFont="1" applyFill="1" applyBorder="1"/>
    <xf numFmtId="0" fontId="14" fillId="8" borderId="10" xfId="0" applyFont="1" applyFill="1" applyBorder="1"/>
    <xf numFmtId="0" fontId="14" fillId="8" borderId="4" xfId="0" applyFont="1" applyFill="1" applyBorder="1"/>
    <xf numFmtId="9" fontId="20" fillId="9" borderId="0" xfId="0" applyNumberFormat="1" applyFont="1" applyFill="1"/>
    <xf numFmtId="0" fontId="15" fillId="9" borderId="0" xfId="0" applyFont="1" applyFill="1"/>
    <xf numFmtId="0" fontId="14" fillId="9" borderId="5" xfId="0" applyFont="1" applyFill="1" applyBorder="1"/>
    <xf numFmtId="10" fontId="20" fillId="9" borderId="0" xfId="0" applyNumberFormat="1" applyFont="1" applyFill="1"/>
    <xf numFmtId="0" fontId="15" fillId="8" borderId="0" xfId="0" applyFont="1" applyFill="1"/>
    <xf numFmtId="0" fontId="14" fillId="8" borderId="5" xfId="0" applyFont="1" applyFill="1" applyBorder="1"/>
    <xf numFmtId="0" fontId="21" fillId="8" borderId="4" xfId="0" applyFont="1" applyFill="1" applyBorder="1"/>
    <xf numFmtId="0" fontId="15" fillId="9" borderId="5" xfId="0" applyFont="1" applyFill="1" applyBorder="1"/>
    <xf numFmtId="0" fontId="12" fillId="9" borderId="10" xfId="0" applyFont="1" applyFill="1" applyBorder="1"/>
    <xf numFmtId="0" fontId="12" fillId="9" borderId="4" xfId="0" applyFont="1" applyFill="1" applyBorder="1"/>
    <xf numFmtId="0" fontId="12" fillId="9" borderId="0" xfId="0" applyFont="1" applyFill="1"/>
    <xf numFmtId="165" fontId="12" fillId="9" borderId="0" xfId="0" applyNumberFormat="1" applyFont="1" applyFill="1"/>
    <xf numFmtId="168" fontId="20" fillId="9" borderId="5" xfId="0" applyNumberFormat="1" applyFont="1" applyFill="1" applyBorder="1"/>
    <xf numFmtId="0" fontId="20" fillId="9" borderId="5" xfId="0" applyFont="1" applyFill="1" applyBorder="1"/>
    <xf numFmtId="0" fontId="13" fillId="9" borderId="10" xfId="0" applyFont="1" applyFill="1" applyBorder="1"/>
    <xf numFmtId="0" fontId="13" fillId="9" borderId="4" xfId="0" applyFont="1" applyFill="1" applyBorder="1"/>
    <xf numFmtId="168" fontId="14" fillId="9" borderId="0" xfId="0" applyNumberFormat="1" applyFont="1" applyFill="1"/>
    <xf numFmtId="0" fontId="12" fillId="9" borderId="0" xfId="0" applyFont="1" applyFill="1" applyAlignment="1">
      <alignment horizontal="right"/>
    </xf>
    <xf numFmtId="0" fontId="14" fillId="8" borderId="0" xfId="0" applyFont="1" applyFill="1"/>
    <xf numFmtId="0" fontId="14" fillId="8" borderId="5" xfId="0" applyFont="1" applyFill="1" applyBorder="1" applyAlignment="1">
      <alignment horizontal="right"/>
    </xf>
    <xf numFmtId="165" fontId="12" fillId="9" borderId="5" xfId="0" applyNumberFormat="1" applyFont="1" applyFill="1" applyBorder="1"/>
    <xf numFmtId="0" fontId="12" fillId="9" borderId="5" xfId="0" applyFont="1" applyFill="1" applyBorder="1"/>
    <xf numFmtId="0" fontId="19" fillId="9" borderId="10" xfId="0" applyFont="1" applyFill="1" applyBorder="1"/>
    <xf numFmtId="0" fontId="19" fillId="9" borderId="4" xfId="0" applyFont="1" applyFill="1" applyBorder="1" applyAlignment="1">
      <alignment horizontal="right"/>
    </xf>
    <xf numFmtId="165" fontId="13" fillId="9" borderId="5" xfId="0" applyNumberFormat="1" applyFont="1" applyFill="1" applyBorder="1"/>
    <xf numFmtId="0" fontId="12" fillId="9" borderId="4" xfId="0" applyFont="1" applyFill="1" applyBorder="1" applyAlignment="1">
      <alignment horizontal="right"/>
    </xf>
    <xf numFmtId="0" fontId="14" fillId="8" borderId="4" xfId="0" applyFont="1" applyFill="1" applyBorder="1" applyAlignment="1">
      <alignment horizontal="right"/>
    </xf>
    <xf numFmtId="8" fontId="12" fillId="9" borderId="0" xfId="0" applyNumberFormat="1" applyFont="1" applyFill="1" applyAlignment="1">
      <alignment horizontal="right"/>
    </xf>
    <xf numFmtId="166" fontId="12" fillId="9" borderId="0" xfId="0" applyNumberFormat="1" applyFont="1" applyFill="1" applyAlignment="1">
      <alignment horizontal="right"/>
    </xf>
    <xf numFmtId="165" fontId="12" fillId="9" borderId="0" xfId="0" applyNumberFormat="1" applyFont="1" applyFill="1" applyAlignment="1">
      <alignment horizontal="right"/>
    </xf>
    <xf numFmtId="0" fontId="13" fillId="9" borderId="11" xfId="0" applyFont="1" applyFill="1" applyBorder="1"/>
    <xf numFmtId="0" fontId="13" fillId="9" borderId="6" xfId="0" applyFont="1" applyFill="1" applyBorder="1"/>
    <xf numFmtId="0" fontId="12" fillId="9" borderId="7" xfId="0" applyFont="1" applyFill="1" applyBorder="1"/>
    <xf numFmtId="165" fontId="13" fillId="9" borderId="8" xfId="0" applyNumberFormat="1" applyFont="1" applyFill="1" applyBorder="1"/>
    <xf numFmtId="0" fontId="13" fillId="4" borderId="0" xfId="0" applyFont="1" applyFill="1"/>
    <xf numFmtId="0" fontId="23" fillId="0" borderId="0" xfId="0" applyFont="1"/>
    <xf numFmtId="0" fontId="12" fillId="9" borderId="11" xfId="0" applyFont="1" applyFill="1" applyBorder="1" applyProtection="1"/>
    <xf numFmtId="0" fontId="14" fillId="8" borderId="6" xfId="0" applyFont="1" applyFill="1" applyBorder="1" applyProtection="1"/>
    <xf numFmtId="165" fontId="12" fillId="9" borderId="7" xfId="0" applyNumberFormat="1" applyFont="1" applyFill="1" applyBorder="1" applyProtection="1"/>
    <xf numFmtId="165" fontId="12" fillId="9" borderId="8" xfId="0" applyNumberFormat="1" applyFont="1" applyFill="1" applyBorder="1" applyProtection="1"/>
    <xf numFmtId="1" fontId="12" fillId="9" borderId="0" xfId="0" applyNumberFormat="1" applyFont="1" applyFill="1" applyBorder="1" applyProtection="1"/>
    <xf numFmtId="167" fontId="12" fillId="9" borderId="0" xfId="1" applyNumberFormat="1" applyFont="1" applyFill="1" applyBorder="1" applyProtection="1"/>
    <xf numFmtId="0" fontId="7" fillId="0" borderId="0" xfId="0" applyFont="1" applyFill="1" applyBorder="1" applyAlignment="1" applyProtection="1">
      <alignment horizontal="center"/>
      <protection locked="0"/>
    </xf>
    <xf numFmtId="170" fontId="20" fillId="9" borderId="0" xfId="0" applyNumberFormat="1" applyFont="1" applyFill="1" applyBorder="1" applyProtection="1"/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right"/>
    </xf>
    <xf numFmtId="0" fontId="4" fillId="7" borderId="9" xfId="0" applyFont="1" applyFill="1" applyBorder="1" applyProtection="1"/>
    <xf numFmtId="0" fontId="4" fillId="7" borderId="1" xfId="0" applyFont="1" applyFill="1" applyBorder="1" applyAlignment="1" applyProtection="1">
      <alignment horizontal="right"/>
    </xf>
    <xf numFmtId="0" fontId="4" fillId="7" borderId="2" xfId="0" applyFont="1" applyFill="1" applyBorder="1" applyAlignment="1" applyProtection="1">
      <alignment horizontal="right"/>
    </xf>
    <xf numFmtId="0" fontId="4" fillId="7" borderId="2" xfId="0" applyFont="1" applyFill="1" applyBorder="1" applyAlignment="1" applyProtection="1">
      <alignment horizontal="left"/>
    </xf>
    <xf numFmtId="0" fontId="4" fillId="7" borderId="2" xfId="0" applyFont="1" applyFill="1" applyBorder="1" applyProtection="1"/>
    <xf numFmtId="0" fontId="4" fillId="7" borderId="9" xfId="0" applyFont="1" applyFill="1" applyBorder="1"/>
    <xf numFmtId="0" fontId="4" fillId="7" borderId="1" xfId="0" applyFont="1" applyFill="1" applyBorder="1" applyAlignment="1">
      <alignment horizontal="right"/>
    </xf>
    <xf numFmtId="0" fontId="4" fillId="7" borderId="2" xfId="0" applyFont="1" applyFill="1" applyBorder="1" applyAlignment="1">
      <alignment horizontal="right"/>
    </xf>
    <xf numFmtId="0" fontId="4" fillId="7" borderId="2" xfId="0" applyFont="1" applyFill="1" applyBorder="1" applyAlignment="1">
      <alignment horizontal="left"/>
    </xf>
    <xf numFmtId="0" fontId="4" fillId="7" borderId="2" xfId="0" applyFont="1" applyFill="1" applyBorder="1"/>
    <xf numFmtId="165" fontId="12" fillId="4" borderId="0" xfId="0" applyNumberFormat="1" applyFont="1" applyFill="1"/>
    <xf numFmtId="9" fontId="7" fillId="5" borderId="5" xfId="3" applyFont="1" applyFill="1" applyBorder="1" applyAlignment="1" applyProtection="1">
      <alignment horizontal="right"/>
      <protection locked="0"/>
    </xf>
    <xf numFmtId="171" fontId="12" fillId="6" borderId="0" xfId="0" applyNumberFormat="1" applyFont="1" applyFill="1" applyBorder="1" applyProtection="1"/>
    <xf numFmtId="171" fontId="13" fillId="6" borderId="5" xfId="2" applyNumberFormat="1" applyFont="1" applyFill="1" applyBorder="1" applyProtection="1"/>
    <xf numFmtId="171" fontId="12" fillId="6" borderId="5" xfId="2" applyNumberFormat="1" applyFont="1" applyFill="1" applyBorder="1" applyProtection="1"/>
    <xf numFmtId="2" fontId="7" fillId="5" borderId="0" xfId="56" applyNumberFormat="1" applyFont="1" applyFill="1" applyBorder="1" applyAlignment="1" applyProtection="1">
      <protection locked="0"/>
    </xf>
    <xf numFmtId="2" fontId="7" fillId="5" borderId="5" xfId="56" applyNumberFormat="1" applyFont="1" applyFill="1" applyBorder="1" applyAlignment="1" applyProtection="1">
      <protection locked="0"/>
    </xf>
    <xf numFmtId="0" fontId="7" fillId="5" borderId="7" xfId="0" applyFont="1" applyFill="1" applyBorder="1" applyAlignment="1" applyProtection="1">
      <alignment horizontal="center"/>
      <protection locked="0"/>
    </xf>
    <xf numFmtId="0" fontId="7" fillId="5" borderId="8" xfId="0" applyFont="1" applyFill="1" applyBorder="1" applyAlignment="1" applyProtection="1">
      <alignment horizontal="center"/>
      <protection locked="0"/>
    </xf>
    <xf numFmtId="0" fontId="24" fillId="0" borderId="0" xfId="0" applyFont="1" applyBorder="1" applyAlignment="1">
      <alignment horizontal="left"/>
    </xf>
    <xf numFmtId="0" fontId="7" fillId="5" borderId="2" xfId="0" applyFont="1" applyFill="1" applyBorder="1" applyAlignment="1" applyProtection="1">
      <protection locked="0"/>
    </xf>
    <xf numFmtId="0" fontId="7" fillId="5" borderId="3" xfId="0" applyFont="1" applyFill="1" applyBorder="1" applyAlignment="1" applyProtection="1">
      <protection locked="0"/>
    </xf>
    <xf numFmtId="44" fontId="7" fillId="5" borderId="0" xfId="55" applyFont="1" applyFill="1" applyBorder="1" applyAlignment="1" applyProtection="1">
      <alignment horizontal="center"/>
      <protection locked="0"/>
    </xf>
    <xf numFmtId="44" fontId="7" fillId="5" borderId="5" xfId="55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43" fontId="7" fillId="0" borderId="0" xfId="56" applyFont="1" applyFill="1" applyBorder="1" applyAlignment="1" applyProtection="1">
      <alignment horizontal="center"/>
    </xf>
    <xf numFmtId="43" fontId="7" fillId="0" borderId="5" xfId="56" applyFont="1" applyFill="1" applyBorder="1" applyAlignment="1" applyProtection="1">
      <alignment horizontal="center"/>
    </xf>
    <xf numFmtId="43" fontId="7" fillId="5" borderId="0" xfId="56" applyFont="1" applyFill="1" applyBorder="1" applyAlignment="1" applyProtection="1">
      <alignment horizontal="center"/>
      <protection locked="0"/>
    </xf>
    <xf numFmtId="43" fontId="7" fillId="5" borderId="5" xfId="56" applyFont="1" applyFill="1" applyBorder="1" applyAlignment="1" applyProtection="1">
      <alignment horizontal="center"/>
      <protection locked="0"/>
    </xf>
    <xf numFmtId="9" fontId="7" fillId="5" borderId="0" xfId="3" applyFont="1" applyFill="1" applyBorder="1" applyAlignment="1" applyProtection="1">
      <alignment horizontal="right"/>
      <protection locked="0"/>
    </xf>
    <xf numFmtId="9" fontId="7" fillId="5" borderId="5" xfId="3" applyFont="1" applyFill="1" applyBorder="1" applyAlignment="1" applyProtection="1">
      <alignment horizontal="right"/>
      <protection locked="0"/>
    </xf>
    <xf numFmtId="43" fontId="7" fillId="0" borderId="2" xfId="56" applyFont="1" applyFill="1" applyBorder="1" applyAlignment="1" applyProtection="1">
      <alignment horizontal="center"/>
    </xf>
    <xf numFmtId="43" fontId="7" fillId="0" borderId="3" xfId="56" applyFont="1" applyFill="1" applyBorder="1" applyAlignment="1" applyProtection="1">
      <alignment horizontal="center"/>
    </xf>
    <xf numFmtId="44" fontId="7" fillId="5" borderId="0" xfId="55" applyFont="1" applyFill="1" applyBorder="1" applyAlignment="1" applyProtection="1">
      <protection locked="0"/>
    </xf>
    <xf numFmtId="44" fontId="7" fillId="5" borderId="5" xfId="55" applyFont="1" applyFill="1" applyBorder="1" applyAlignment="1" applyProtection="1">
      <protection locked="0"/>
    </xf>
    <xf numFmtId="44" fontId="7" fillId="5" borderId="8" xfId="55" applyFont="1" applyFill="1" applyBorder="1" applyAlignment="1" applyProtection="1">
      <alignment horizontal="center"/>
      <protection locked="0"/>
    </xf>
    <xf numFmtId="0" fontId="24" fillId="0" borderId="7" xfId="0" applyFont="1" applyBorder="1" applyAlignment="1">
      <alignment horizontal="left"/>
    </xf>
  </cellXfs>
  <cellStyles count="59">
    <cellStyle name="Comma" xfId="1" builtinId="3"/>
    <cellStyle name="Comma 2" xfId="56" xr:uid="{00000000-0005-0000-0000-000001000000}"/>
    <cellStyle name="Currency" xfId="2" builtinId="4"/>
    <cellStyle name="Currency 2" xfId="4" xr:uid="{00000000-0005-0000-0000-000003000000}"/>
    <cellStyle name="Currency 3" xfId="55" xr:uid="{00000000-0005-0000-0000-000004000000}"/>
    <cellStyle name="Followed Hyperlink" xfId="54" builtinId="9" hidden="1"/>
    <cellStyle name="Followed Hyperlink" xfId="42" builtinId="9" hidden="1"/>
    <cellStyle name="Followed Hyperlink" xfId="14" builtinId="9" hidden="1"/>
    <cellStyle name="Followed Hyperlink" xfId="26" builtinId="9" hidden="1"/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28" builtinId="9" hidden="1"/>
    <cellStyle name="Followed Hyperlink" xfId="18" builtinId="9" hidden="1"/>
    <cellStyle name="Followed Hyperlink" xfId="36" builtinId="9" hidden="1"/>
    <cellStyle name="Followed Hyperlink" xfId="44" builtinId="9" hidden="1"/>
    <cellStyle name="Followed Hyperlink" xfId="20" builtinId="9" hidden="1"/>
    <cellStyle name="Followed Hyperlink" xfId="8" builtinId="9" hidden="1"/>
    <cellStyle name="Followed Hyperlink" xfId="22" builtinId="9" hidden="1"/>
    <cellStyle name="Followed Hyperlink" xfId="40" builtinId="9" hidden="1"/>
    <cellStyle name="Followed Hyperlink" xfId="50" builtinId="9" hidden="1"/>
    <cellStyle name="Followed Hyperlink" xfId="58" builtinId="9" hidden="1"/>
    <cellStyle name="Followed Hyperlink" xfId="34" builtinId="9" hidden="1"/>
    <cellStyle name="Followed Hyperlink" xfId="38" builtinId="9" hidden="1"/>
    <cellStyle name="Followed Hyperlink" xfId="32" builtinId="9" hidden="1"/>
    <cellStyle name="Followed Hyperlink" xfId="30" builtinId="9" hidden="1"/>
    <cellStyle name="Followed Hyperlink" xfId="52" builtinId="9" hidden="1"/>
    <cellStyle name="Followed Hyperlink" xfId="46" builtinId="9" hidden="1"/>
    <cellStyle name="Followed Hyperlink" xfId="48" builtinId="9" hidden="1"/>
    <cellStyle name="Followed Hyperlink" xfId="16" builtinId="9" hidden="1"/>
    <cellStyle name="Followed Hyperlink" xfId="2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7" builtinId="8" hidden="1"/>
    <cellStyle name="Hyperlink" xfId="39" builtinId="8" hidden="1"/>
    <cellStyle name="Hyperlink" xfId="25" builtinId="8" hidden="1"/>
    <cellStyle name="Hyperlink" xfId="31" builtinId="8" hidden="1"/>
    <cellStyle name="Hyperlink" xfId="33" builtinId="8" hidden="1"/>
    <cellStyle name="Hyperlink" xfId="29" builtinId="8" hidden="1"/>
    <cellStyle name="Hyperlink" xfId="13" builtinId="8" hidden="1"/>
    <cellStyle name="Hyperlink" xfId="35" builtinId="8" hidden="1"/>
    <cellStyle name="Hyperlink" xfId="37" builtinId="8" hidden="1"/>
    <cellStyle name="Hyperlink" xfId="45" builtinId="8" hidden="1"/>
    <cellStyle name="Hyperlink" xfId="47" builtinId="8" hidden="1"/>
    <cellStyle name="Hyperlink" xfId="41" builtinId="8" hidden="1"/>
    <cellStyle name="Hyperlink" xfId="23" builtinId="8" hidden="1"/>
    <cellStyle name="Hyperlink" xfId="43" builtinId="8" hidden="1"/>
    <cellStyle name="Hyperlink" xfId="27" builtinId="8" hidden="1"/>
    <cellStyle name="Hyperlink" xfId="15" builtinId="8" hidden="1"/>
    <cellStyle name="Hyperlink" xfId="19" builtinId="8" hidden="1"/>
    <cellStyle name="Hyperlink" xfId="21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2463-471B-4FB4-9313-FB89B1E7FFFE}">
  <dimension ref="A1:O58"/>
  <sheetViews>
    <sheetView showGridLines="0" tabSelected="1" topLeftCell="A10" zoomScale="80" zoomScaleNormal="80" zoomScalePageLayoutView="90" workbookViewId="0">
      <selection activeCell="E20" sqref="E20"/>
    </sheetView>
  </sheetViews>
  <sheetFormatPr defaultColWidth="11" defaultRowHeight="15.75"/>
  <cols>
    <col min="1" max="1" width="56.5" customWidth="1"/>
    <col min="2" max="2" width="8.625" customWidth="1"/>
    <col min="3" max="3" width="24.125" bestFit="1" customWidth="1"/>
    <col min="4" max="6" width="20.625" customWidth="1"/>
    <col min="7" max="7" width="5.125" customWidth="1"/>
    <col min="8" max="8" width="20" customWidth="1"/>
    <col min="9" max="10" width="23.5" customWidth="1"/>
    <col min="11" max="11" width="7" customWidth="1"/>
    <col min="12" max="12" width="18.625" customWidth="1"/>
  </cols>
  <sheetData>
    <row r="1" spans="1:15" ht="28.5">
      <c r="A1" s="38" t="s">
        <v>114</v>
      </c>
      <c r="B1" s="53"/>
      <c r="C1" s="39"/>
      <c r="D1" s="53"/>
      <c r="E1" s="35"/>
      <c r="F1" s="35"/>
      <c r="G1" s="35"/>
      <c r="H1" s="35"/>
      <c r="I1" s="1"/>
      <c r="J1" s="1"/>
      <c r="K1" s="1"/>
      <c r="L1" s="1"/>
      <c r="M1" s="1"/>
      <c r="N1" s="1"/>
      <c r="O1" s="1"/>
    </row>
    <row r="2" spans="1:15" ht="20.100000000000001" customHeight="1">
      <c r="A2" s="143" t="s">
        <v>1</v>
      </c>
      <c r="B2" s="53"/>
      <c r="C2" s="39"/>
      <c r="D2" s="53"/>
      <c r="E2" s="35"/>
      <c r="F2" s="35"/>
      <c r="G2" s="35"/>
      <c r="H2" s="35"/>
      <c r="I2" s="1"/>
      <c r="J2" s="1"/>
      <c r="K2" s="1"/>
      <c r="L2" s="1"/>
      <c r="M2" s="1"/>
      <c r="N2" s="1"/>
      <c r="O2" s="1"/>
    </row>
    <row r="3" spans="1:15" ht="23.25">
      <c r="A3" s="39" t="s">
        <v>184</v>
      </c>
      <c r="B3" s="35"/>
      <c r="C3" s="53"/>
      <c r="D3" s="53"/>
      <c r="E3" s="35"/>
      <c r="F3" s="35"/>
      <c r="G3" s="35"/>
      <c r="H3" s="35"/>
      <c r="I3" s="7"/>
      <c r="J3" s="7"/>
      <c r="K3" s="7"/>
      <c r="L3" s="1"/>
      <c r="M3" s="1"/>
      <c r="N3" s="1"/>
      <c r="O3" s="1"/>
    </row>
    <row r="4" spans="1:15" ht="23.25">
      <c r="A4" s="39"/>
      <c r="B4" s="35"/>
      <c r="C4" s="53"/>
      <c r="D4" s="53"/>
      <c r="E4" s="35"/>
      <c r="F4" s="35"/>
      <c r="G4" s="35"/>
      <c r="H4" s="35"/>
      <c r="I4" s="7"/>
      <c r="J4" s="7"/>
      <c r="K4" s="7"/>
      <c r="L4" s="1"/>
      <c r="M4" s="1"/>
      <c r="N4" s="1"/>
      <c r="O4" s="1"/>
    </row>
    <row r="5" spans="1:15" ht="24" thickBot="1">
      <c r="A5" s="54" t="s">
        <v>2</v>
      </c>
      <c r="B5" s="229" t="s">
        <v>3</v>
      </c>
      <c r="C5" s="229"/>
      <c r="D5" s="87" t="s">
        <v>4</v>
      </c>
      <c r="E5" s="40"/>
      <c r="F5" s="40"/>
      <c r="G5" s="40"/>
      <c r="H5" s="40"/>
      <c r="M5" s="1"/>
      <c r="N5" s="1"/>
      <c r="O5" s="1"/>
    </row>
    <row r="6" spans="1:15" ht="21">
      <c r="A6" s="88" t="s">
        <v>115</v>
      </c>
      <c r="B6" s="230">
        <v>3</v>
      </c>
      <c r="C6" s="231"/>
      <c r="D6" s="91" t="s">
        <v>116</v>
      </c>
      <c r="E6" s="40"/>
      <c r="F6" s="40"/>
      <c r="G6" s="40"/>
      <c r="H6" s="40"/>
      <c r="M6" s="1"/>
      <c r="N6" s="1"/>
      <c r="O6" s="1"/>
    </row>
    <row r="7" spans="1:15" ht="21">
      <c r="A7" s="89" t="s">
        <v>117</v>
      </c>
      <c r="B7" s="232">
        <v>0.25</v>
      </c>
      <c r="C7" s="233"/>
      <c r="D7" s="91" t="s">
        <v>118</v>
      </c>
      <c r="E7" s="40"/>
      <c r="F7" s="40"/>
      <c r="G7" s="40"/>
      <c r="H7" s="40"/>
      <c r="M7" s="1"/>
      <c r="N7" s="1"/>
      <c r="O7" s="1"/>
    </row>
    <row r="8" spans="1:15" ht="21">
      <c r="A8" s="89" t="s">
        <v>119</v>
      </c>
      <c r="B8" s="225">
        <v>1000</v>
      </c>
      <c r="C8" s="226"/>
      <c r="D8" s="91"/>
      <c r="E8" s="40"/>
      <c r="F8" s="40"/>
      <c r="G8" s="40"/>
      <c r="H8" s="40"/>
      <c r="M8" s="1"/>
      <c r="N8" s="1"/>
      <c r="O8" s="1"/>
    </row>
    <row r="9" spans="1:15" ht="21">
      <c r="A9" s="89" t="s">
        <v>120</v>
      </c>
      <c r="B9" s="225">
        <v>6</v>
      </c>
      <c r="C9" s="226"/>
      <c r="D9" s="91"/>
      <c r="E9" s="40"/>
      <c r="F9" s="40"/>
      <c r="G9" s="40"/>
      <c r="H9" s="40"/>
      <c r="M9" s="1"/>
      <c r="N9" s="1"/>
      <c r="O9" s="1"/>
    </row>
    <row r="10" spans="1:15" ht="21">
      <c r="A10" s="89" t="s">
        <v>121</v>
      </c>
      <c r="B10" s="225">
        <v>6000</v>
      </c>
      <c r="C10" s="226"/>
      <c r="D10" s="91"/>
      <c r="E10" s="40"/>
      <c r="F10" s="40"/>
      <c r="G10" s="40"/>
      <c r="H10" s="40"/>
      <c r="M10" s="1"/>
      <c r="N10" s="1"/>
      <c r="O10" s="1"/>
    </row>
    <row r="11" spans="1:15" ht="21">
      <c r="A11" s="89" t="s">
        <v>122</v>
      </c>
      <c r="B11" s="236">
        <f>B10*1000/B9</f>
        <v>1000000</v>
      </c>
      <c r="C11" s="237"/>
      <c r="D11" s="91"/>
      <c r="E11" s="40"/>
      <c r="F11" s="40"/>
      <c r="G11" s="40"/>
      <c r="H11" s="40"/>
      <c r="M11" s="1"/>
      <c r="N11" s="1"/>
      <c r="O11" s="1"/>
    </row>
    <row r="12" spans="1:15" ht="21">
      <c r="A12" s="89" t="s">
        <v>14</v>
      </c>
      <c r="B12" s="234" t="s">
        <v>123</v>
      </c>
      <c r="C12" s="235"/>
      <c r="D12" s="139" t="s">
        <v>124</v>
      </c>
      <c r="E12" s="40"/>
      <c r="F12" s="40"/>
      <c r="G12" s="40"/>
      <c r="H12" s="40"/>
      <c r="M12" s="1"/>
      <c r="N12" s="1"/>
      <c r="O12" s="1"/>
    </row>
    <row r="13" spans="1:15" ht="21">
      <c r="A13" s="89" t="s">
        <v>125</v>
      </c>
      <c r="B13" s="238">
        <v>0</v>
      </c>
      <c r="C13" s="239"/>
      <c r="D13" s="91" t="s">
        <v>126</v>
      </c>
      <c r="E13" s="40"/>
      <c r="F13" s="40"/>
      <c r="G13" s="40"/>
      <c r="H13" s="40"/>
      <c r="M13" s="1"/>
      <c r="N13" s="1"/>
      <c r="O13" s="1"/>
    </row>
    <row r="14" spans="1:15" ht="23.25">
      <c r="A14" s="89" t="s">
        <v>127</v>
      </c>
      <c r="B14" s="232">
        <v>6000000</v>
      </c>
      <c r="C14" s="233"/>
      <c r="D14" s="55"/>
      <c r="E14" s="40"/>
      <c r="F14" s="40"/>
      <c r="G14" s="40"/>
      <c r="H14" s="40"/>
      <c r="M14" s="1"/>
      <c r="N14" s="1"/>
      <c r="O14" s="1"/>
    </row>
    <row r="15" spans="1:15" ht="23.25">
      <c r="A15" s="89" t="s">
        <v>128</v>
      </c>
      <c r="B15" s="240">
        <v>0.22</v>
      </c>
      <c r="C15" s="241"/>
      <c r="D15" s="55"/>
      <c r="E15" s="40"/>
      <c r="F15" s="40"/>
      <c r="G15" s="40"/>
      <c r="H15" s="40"/>
      <c r="M15" s="1"/>
      <c r="N15" s="1"/>
      <c r="O15" s="1"/>
    </row>
    <row r="16" spans="1:15" ht="23.25">
      <c r="A16" s="89" t="s">
        <v>38</v>
      </c>
      <c r="B16" s="232">
        <v>1000</v>
      </c>
      <c r="C16" s="233"/>
      <c r="D16" s="55"/>
      <c r="E16" s="40"/>
      <c r="F16" s="40"/>
      <c r="G16" s="40"/>
      <c r="H16" s="40"/>
      <c r="M16" s="1"/>
      <c r="N16" s="1"/>
      <c r="O16" s="1"/>
    </row>
    <row r="17" spans="1:15" ht="23.25">
      <c r="A17" s="89" t="s">
        <v>39</v>
      </c>
      <c r="B17" s="232">
        <v>1000</v>
      </c>
      <c r="C17" s="233"/>
      <c r="D17" s="55"/>
      <c r="E17" s="40"/>
      <c r="F17" s="40"/>
      <c r="G17" s="40"/>
      <c r="H17" s="40"/>
      <c r="M17" s="1"/>
      <c r="N17" s="1"/>
      <c r="O17" s="1"/>
    </row>
    <row r="18" spans="1:15" ht="23.25">
      <c r="A18" s="89" t="s">
        <v>40</v>
      </c>
      <c r="B18" s="232">
        <v>1000</v>
      </c>
      <c r="C18" s="233"/>
      <c r="D18" s="55"/>
      <c r="E18" s="40"/>
      <c r="F18" s="40"/>
      <c r="G18" s="40"/>
      <c r="H18" s="40"/>
      <c r="M18" s="1"/>
      <c r="N18" s="1"/>
      <c r="O18" s="1"/>
    </row>
    <row r="19" spans="1:15" ht="21">
      <c r="A19" s="89" t="s">
        <v>129</v>
      </c>
      <c r="B19" s="234" t="s">
        <v>183</v>
      </c>
      <c r="C19" s="235"/>
      <c r="D19" s="91" t="s">
        <v>130</v>
      </c>
      <c r="E19" s="40"/>
      <c r="F19" s="40"/>
      <c r="G19" s="40"/>
      <c r="H19" s="40"/>
      <c r="M19" s="1"/>
      <c r="N19" s="1"/>
      <c r="O19" s="1"/>
    </row>
    <row r="20" spans="1:15" ht="21.75" thickBot="1">
      <c r="A20" s="90" t="s">
        <v>131</v>
      </c>
      <c r="B20" s="227" t="s">
        <v>123</v>
      </c>
      <c r="C20" s="228"/>
      <c r="D20" s="91" t="s">
        <v>132</v>
      </c>
      <c r="E20" s="40"/>
      <c r="F20" s="40"/>
      <c r="G20" s="40"/>
      <c r="H20" s="40"/>
      <c r="M20" s="1"/>
      <c r="N20" s="1"/>
      <c r="O20" s="1"/>
    </row>
    <row r="21" spans="1:15" ht="21">
      <c r="A21" s="87"/>
      <c r="B21" s="206"/>
      <c r="C21" s="206"/>
      <c r="D21" s="91"/>
      <c r="E21" s="40"/>
      <c r="F21" s="40"/>
      <c r="G21" s="40"/>
      <c r="H21" s="40"/>
      <c r="M21" s="1"/>
      <c r="N21" s="1"/>
      <c r="O21" s="1"/>
    </row>
    <row r="22" spans="1:15" ht="24" thickBot="1">
      <c r="A22" s="46" t="s">
        <v>43</v>
      </c>
      <c r="B22" s="37"/>
      <c r="C22" s="37"/>
      <c r="D22" s="37"/>
      <c r="E22" s="40"/>
      <c r="F22" s="40"/>
      <c r="G22" s="40"/>
      <c r="H22" s="40"/>
      <c r="M22" s="1"/>
      <c r="N22" s="1"/>
      <c r="O22" s="1"/>
    </row>
    <row r="23" spans="1:15" s="140" customFormat="1" ht="21.75" thickBot="1">
      <c r="A23" s="210" t="s">
        <v>44</v>
      </c>
      <c r="B23" s="211"/>
      <c r="C23" s="212" t="s">
        <v>133</v>
      </c>
      <c r="D23" s="213">
        <f>B6</f>
        <v>3</v>
      </c>
      <c r="E23" s="214" t="str">
        <f>"Incentive Rate: $"&amp;B7&amp;" per Watt-hour"</f>
        <v>Incentive Rate: $0.25 per Watt-hour</v>
      </c>
      <c r="F23" s="214"/>
      <c r="G23" s="56"/>
      <c r="H23" s="57"/>
      <c r="I23" s="58"/>
      <c r="J23" s="58"/>
      <c r="K23" s="58"/>
      <c r="L23" s="58"/>
      <c r="M23" s="58"/>
      <c r="N23" s="58"/>
      <c r="O23" s="58"/>
    </row>
    <row r="24" spans="1:15" s="15" customFormat="1" ht="18.75">
      <c r="A24" s="92" t="s">
        <v>134</v>
      </c>
      <c r="B24" s="93"/>
      <c r="C24" s="94" t="s">
        <v>135</v>
      </c>
      <c r="D24" s="94" t="s">
        <v>136</v>
      </c>
      <c r="E24" s="94" t="s">
        <v>137</v>
      </c>
      <c r="F24" s="94"/>
      <c r="G24" s="95"/>
      <c r="H24" s="96"/>
      <c r="I24" s="14"/>
      <c r="J24" s="14"/>
      <c r="K24" s="14"/>
      <c r="L24" s="14"/>
      <c r="M24" s="14"/>
      <c r="N24" s="14"/>
      <c r="O24" s="14"/>
    </row>
    <row r="25" spans="1:15" s="15" customFormat="1" ht="18.75">
      <c r="A25" s="97" t="s">
        <v>138</v>
      </c>
      <c r="B25" s="98"/>
      <c r="C25" s="102">
        <f>100%</f>
        <v>1</v>
      </c>
      <c r="D25" s="102">
        <v>0.5</v>
      </c>
      <c r="E25" s="102">
        <v>0.25</v>
      </c>
      <c r="F25" s="102"/>
      <c r="G25" s="103"/>
      <c r="H25" s="104"/>
      <c r="I25" s="14"/>
      <c r="J25" s="14"/>
      <c r="K25" s="14"/>
      <c r="L25" s="14"/>
      <c r="M25" s="14"/>
      <c r="N25" s="14"/>
      <c r="O25" s="14"/>
    </row>
    <row r="26" spans="1:15" s="15" customFormat="1" ht="18.75">
      <c r="A26" s="97" t="s">
        <v>139</v>
      </c>
      <c r="B26" s="98"/>
      <c r="C26" s="102">
        <f>IF($B$20="Yes", 50%, 100%)</f>
        <v>1</v>
      </c>
      <c r="D26" s="102">
        <f>IF($B$20="Yes", 25%, 50%)</f>
        <v>0.5</v>
      </c>
      <c r="E26" s="207">
        <f>IF($B$20="Yes", 12.5%, 25%)</f>
        <v>0.25</v>
      </c>
      <c r="F26" s="105"/>
      <c r="G26" s="103"/>
      <c r="H26" s="104"/>
      <c r="I26" s="14"/>
      <c r="J26" s="14"/>
      <c r="K26" s="14"/>
      <c r="L26" s="14"/>
      <c r="M26" s="14"/>
      <c r="N26" s="14"/>
      <c r="O26" s="14"/>
    </row>
    <row r="27" spans="1:15" s="15" customFormat="1" ht="19.5" thickBot="1">
      <c r="A27" s="97" t="s">
        <v>140</v>
      </c>
      <c r="B27" s="98"/>
      <c r="C27" s="102">
        <f>IF($B$20="Yes", 25%, 50%)</f>
        <v>0.5</v>
      </c>
      <c r="D27" s="207">
        <f>IF($B$20="Yes", 12.5%, 25%)</f>
        <v>0.25</v>
      </c>
      <c r="E27" s="105">
        <f>IF($B$20="Yes", 6.25%, 12.5%)</f>
        <v>0.125</v>
      </c>
      <c r="F27" s="105"/>
      <c r="G27" s="103"/>
      <c r="H27" s="104"/>
      <c r="I27" s="14"/>
      <c r="J27" s="14"/>
      <c r="K27" s="14"/>
      <c r="L27" s="14"/>
      <c r="M27" s="14"/>
      <c r="N27" s="14"/>
      <c r="O27" s="14"/>
    </row>
    <row r="28" spans="1:15" s="15" customFormat="1" ht="18.75">
      <c r="A28" s="92"/>
      <c r="B28" s="93"/>
      <c r="C28" s="94" t="s">
        <v>135</v>
      </c>
      <c r="D28" s="94" t="s">
        <v>136</v>
      </c>
      <c r="E28" s="94" t="s">
        <v>137</v>
      </c>
      <c r="F28" s="94"/>
      <c r="G28" s="95"/>
      <c r="H28" s="96"/>
      <c r="I28" s="14"/>
      <c r="J28" s="14"/>
      <c r="K28" s="14"/>
      <c r="L28" s="14"/>
      <c r="M28" s="14"/>
      <c r="N28" s="14"/>
      <c r="O28" s="14"/>
    </row>
    <row r="29" spans="1:15" s="15" customFormat="1" ht="18.75">
      <c r="A29" s="97" t="s">
        <v>141</v>
      </c>
      <c r="B29" s="98"/>
      <c r="C29" s="106">
        <f>IF($B$13&lt;2000000,$B$13,2000000)</f>
        <v>0</v>
      </c>
      <c r="D29" s="106">
        <f>IF($B$13&gt;2000000,IF($B$13&lt;4000000,$B$13-C29,2000000),0)</f>
        <v>0</v>
      </c>
      <c r="E29" s="106">
        <f>IF($B$13&gt;4000000,IF($B$13&lt;6000000,$B$13-C29-D29,2000000),0)</f>
        <v>0</v>
      </c>
      <c r="F29" s="106"/>
      <c r="G29" s="100"/>
      <c r="H29" s="101"/>
      <c r="I29" s="14"/>
      <c r="J29" s="14"/>
      <c r="K29" s="14"/>
      <c r="L29" s="14"/>
      <c r="M29" s="14"/>
      <c r="N29" s="14"/>
      <c r="O29" s="14"/>
    </row>
    <row r="30" spans="1:15" s="15" customFormat="1" ht="18.75">
      <c r="A30" s="97" t="s">
        <v>138</v>
      </c>
      <c r="B30" s="107">
        <f>IF($B$9&gt;=2,2,$B$9)</f>
        <v>2</v>
      </c>
      <c r="C30" s="108">
        <f>IF((IF($B$9&gt;=2,2,$B$9)*$B$11+C29)&lt;2000000,IF($B$9&gt;=2,2,$B$9)*$B$11,2000000-C29)</f>
        <v>2000000</v>
      </c>
      <c r="D30" s="109">
        <f>IF((IF($B$9&gt;=2,2,$B$9)*$B$11+C29)&gt;2000000,IF(IF($B$9&gt;=2,2,$B$9)*$B$11+C29+D29&lt;4000000,(IF($B$9&gt;=2,2,$B$9)*$B$11-C30),2000000-D29),0)</f>
        <v>0</v>
      </c>
      <c r="E30" s="109">
        <f>IF(IF($B$9&gt;=2,2,$B$9)*$B$11+C29+D29&gt;4000000,IF(IF($B$9&gt;=2,2,$B$9)*$B$11+C29+D29+E29&lt;6000000,IF($B$9&gt;=2,2,$B$9)*$B$11-D30-C30,2000000-E29),0)</f>
        <v>0</v>
      </c>
      <c r="F30" s="109"/>
      <c r="G30" s="103"/>
      <c r="H30" s="110"/>
      <c r="I30" s="14"/>
      <c r="J30" s="14"/>
      <c r="K30" s="14"/>
      <c r="L30" s="14"/>
      <c r="M30" s="14"/>
      <c r="N30" s="14"/>
      <c r="O30" s="14"/>
    </row>
    <row r="31" spans="1:15" s="15" customFormat="1" ht="18.75">
      <c r="A31" s="97" t="s">
        <v>139</v>
      </c>
      <c r="B31" s="107">
        <f>IF($B$9&gt;=4,2,IF($B$9-2&lt;0,0,$B$9-2))</f>
        <v>2</v>
      </c>
      <c r="C31" s="108">
        <f>IF((IF($B$9&gt;=4,2,IF($B$9-2&lt;0,0,$B$9-2))*$B$11+C30+C29)&lt;2000000,IF($B$9&gt;=4,2,IF($B$9-2&lt;0,0,$B$9-2))*$B$11,2000000-C30-C29)</f>
        <v>0</v>
      </c>
      <c r="D31" s="109">
        <f>IF((IF($B$9&gt;=4,2,IF($B$9-2&lt;0,0,$B$9-2))*$B$11+C30+C29)&gt;2000000,IF((IF($B$9&gt;=4,2,IF($B$9-2&lt;0,0,$B$9-2))*$B$11+C30+D30+C29+D29)&lt;4000000,(IF($B$9&gt;=4,2,IF($B$9-2&lt;0,0,$B$9-2))*$B$11-C31),2000000-D30-D29),0)</f>
        <v>2000000</v>
      </c>
      <c r="E31" s="109">
        <f>IF((IF($B$9&gt;=4,2,IF($B$9-2&lt;0,0,$B$9-2))*$B$11+SUM(C29:D30))&gt;4000000,IF((IF($B$9&gt;=4,2,IF($B$9-2&lt;0,0,$B$9-2))*$B$11+SUM(C29:E30))&lt;6000000,IF($B$9&gt;=4,2,IF($B$9-2&lt;0,0,$B$9-2))*$B$11-D31-C31,2000000-E30-E29),0)</f>
        <v>0</v>
      </c>
      <c r="F31" s="109"/>
      <c r="G31" s="103"/>
      <c r="H31" s="110"/>
      <c r="I31" s="14"/>
      <c r="J31" s="14"/>
      <c r="K31" s="14"/>
      <c r="L31" s="14"/>
      <c r="M31" s="14"/>
      <c r="N31" s="14"/>
      <c r="O31" s="14"/>
    </row>
    <row r="32" spans="1:15" s="15" customFormat="1" ht="18.75">
      <c r="A32" s="97" t="s">
        <v>140</v>
      </c>
      <c r="B32" s="107">
        <f>IF($B$9&gt;=6,2,IF($B$9-4&lt;0,0,$B$9-4))</f>
        <v>2</v>
      </c>
      <c r="C32" s="108">
        <f>IF((IF($B$9&gt;=6,2,IF($B$9-4&lt;0,0,$B$9-4))*$B$11+SUM(C29:C31))&lt;2000000,IF($B$9&gt;=6,2,IF($B$9-4&lt;0,0,$B$9-4))*$B$11,2000000-SUM(C29:C31))</f>
        <v>0</v>
      </c>
      <c r="D32" s="109">
        <f>IF((IF($B$9&gt;=6,2,IF($B$9-4&lt;0,0,$B$9-4))*$B$11+SUM(C29:C31))&gt;2000000,IF((IF($B$9&gt;=6,2,IF($B$9-4&lt;0,0,$B$9-4))*$B$11+SUM(C29:D31))&lt;4000000,(IF($B$9&gt;=6,2,IF($B$9-4&lt;0,0,$B$9-4))*$B$11-C32),2000000-SUM(D29:D31)),0)</f>
        <v>0</v>
      </c>
      <c r="E32" s="109">
        <f>IF((IF($B$9&gt;=6,2,IF($B$9-4&lt;0,0,$B$9-4))*$B$11+SUM(C29:D31))&gt;4000000,IF((IF($B$9&gt;=6,2,IF($B$9-4&lt;0,0,$B$9-4))*$B$11+SUM(C29:E31))&lt;6000000,IF($B$9&gt;=6,2,IF($B$9-4&lt;0,0,$B$9-4))*$B$11-D32-C32,2000000-SUM(E29:E31)),0)</f>
        <v>2000000</v>
      </c>
      <c r="F32" s="109"/>
      <c r="G32" s="103"/>
      <c r="H32" s="110"/>
      <c r="I32" s="14"/>
      <c r="J32" s="14"/>
      <c r="K32" s="14"/>
      <c r="L32" s="14"/>
      <c r="M32" s="14"/>
      <c r="N32" s="14"/>
      <c r="O32" s="14"/>
    </row>
    <row r="33" spans="1:15" s="15" customFormat="1" ht="18.75">
      <c r="A33" s="111" t="s">
        <v>54</v>
      </c>
      <c r="B33" s="112"/>
      <c r="C33" s="113"/>
      <c r="D33" s="114"/>
      <c r="E33" s="114"/>
      <c r="F33" s="114"/>
      <c r="G33" s="115"/>
      <c r="H33" s="116">
        <f>SUMPRODUCT(C25:E27,C30:E32)*B7</f>
        <v>812500</v>
      </c>
      <c r="I33" s="14"/>
      <c r="J33" s="14"/>
      <c r="K33" s="14"/>
      <c r="L33" s="14"/>
      <c r="M33" s="14"/>
      <c r="N33" s="14"/>
      <c r="O33" s="14"/>
    </row>
    <row r="34" spans="1:15" s="15" customFormat="1" ht="18.75">
      <c r="A34" s="111" t="s">
        <v>55</v>
      </c>
      <c r="B34" s="112"/>
      <c r="C34" s="113"/>
      <c r="D34" s="114"/>
      <c r="E34" s="114"/>
      <c r="F34" s="114"/>
      <c r="G34" s="115"/>
      <c r="H34" s="117">
        <f>IF(B12="Yes",0.2*H33,0)</f>
        <v>0</v>
      </c>
      <c r="I34" s="14"/>
      <c r="J34" s="14"/>
      <c r="K34" s="14"/>
      <c r="L34" s="14"/>
      <c r="M34" s="14"/>
      <c r="N34" s="14"/>
      <c r="O34" s="14"/>
    </row>
    <row r="35" spans="1:15" s="15" customFormat="1" ht="19.5" thickBot="1">
      <c r="A35" s="118" t="s">
        <v>56</v>
      </c>
      <c r="B35" s="119"/>
      <c r="C35" s="120"/>
      <c r="D35" s="114"/>
      <c r="E35" s="114"/>
      <c r="F35" s="114"/>
      <c r="G35" s="121" t="s">
        <v>57</v>
      </c>
      <c r="H35" s="122">
        <f>H34+H33</f>
        <v>812500</v>
      </c>
      <c r="I35" s="14"/>
      <c r="J35" s="14"/>
      <c r="K35" s="14"/>
      <c r="L35" s="14"/>
      <c r="M35" s="14"/>
      <c r="N35" s="14"/>
      <c r="O35" s="14"/>
    </row>
    <row r="36" spans="1:15" s="15" customFormat="1" ht="18.75">
      <c r="A36" s="92" t="s">
        <v>59</v>
      </c>
      <c r="B36" s="93"/>
      <c r="C36" s="94" t="s">
        <v>135</v>
      </c>
      <c r="D36" s="94" t="s">
        <v>136</v>
      </c>
      <c r="E36" s="94" t="s">
        <v>137</v>
      </c>
      <c r="F36" s="94"/>
      <c r="G36" s="95"/>
      <c r="H36" s="96"/>
      <c r="I36" s="14"/>
      <c r="J36" s="14"/>
      <c r="K36" s="14"/>
      <c r="L36" s="14"/>
      <c r="M36" s="14"/>
      <c r="N36" s="14"/>
      <c r="O36" s="14"/>
    </row>
    <row r="37" spans="1:15" s="15" customFormat="1" ht="18.75">
      <c r="A37" s="111" t="s">
        <v>185</v>
      </c>
      <c r="B37" s="98"/>
      <c r="C37" s="114">
        <v>0.15</v>
      </c>
      <c r="D37" s="114">
        <v>0.15</v>
      </c>
      <c r="E37" s="114">
        <v>0.15</v>
      </c>
      <c r="F37" s="114"/>
      <c r="G37" s="114"/>
      <c r="H37" s="124"/>
      <c r="I37" s="14"/>
      <c r="J37" s="14"/>
      <c r="K37" s="14"/>
      <c r="L37" s="14"/>
      <c r="M37" s="14"/>
      <c r="N37" s="14"/>
      <c r="O37" s="14"/>
    </row>
    <row r="38" spans="1:15" s="15" customFormat="1" ht="18.75">
      <c r="A38" s="111" t="s">
        <v>142</v>
      </c>
      <c r="B38" s="98"/>
      <c r="C38" s="205">
        <f>IF($B$19="Yes",SUM(C30:C32),0)</f>
        <v>2000000</v>
      </c>
      <c r="D38" s="205">
        <f>IF($B$19="Yes",SUM(D30:D32),0)</f>
        <v>2000000</v>
      </c>
      <c r="E38" s="205">
        <f>IF($B$19="Yes",SUM(E30:E32),0)</f>
        <v>2000000</v>
      </c>
      <c r="F38" s="204"/>
      <c r="G38" s="114"/>
      <c r="H38" s="124"/>
      <c r="I38" s="14"/>
      <c r="J38" s="14"/>
      <c r="K38" s="14"/>
      <c r="L38" s="14"/>
      <c r="M38" s="14"/>
      <c r="N38" s="14"/>
      <c r="O38" s="14"/>
    </row>
    <row r="39" spans="1:15" s="15" customFormat="1" ht="19.5" thickBot="1">
      <c r="A39" s="200" t="s">
        <v>59</v>
      </c>
      <c r="B39" s="201"/>
      <c r="C39" s="202">
        <f>IF($B$19="Yes", SUMPRODUCT(C25:C27,C30:C32)*C37)</f>
        <v>300000</v>
      </c>
      <c r="D39" s="202">
        <f>IF($B$19="Yes", SUMPRODUCT(D25:D27,D30:D32)*D37)</f>
        <v>150000</v>
      </c>
      <c r="E39" s="202">
        <f>IF($B$19="Yes", SUMPRODUCT(E25:E27,E30:E32)*E37)</f>
        <v>37500</v>
      </c>
      <c r="F39" s="202"/>
      <c r="G39" s="202" t="s">
        <v>60</v>
      </c>
      <c r="H39" s="203">
        <f>SUM(C39:E39)</f>
        <v>487500</v>
      </c>
      <c r="I39" s="14"/>
      <c r="J39" s="14"/>
      <c r="K39" s="14"/>
      <c r="L39" s="14"/>
      <c r="M39" s="14"/>
      <c r="N39" s="14"/>
      <c r="O39" s="14"/>
    </row>
    <row r="40" spans="1:15" s="15" customFormat="1" ht="18.75">
      <c r="A40" s="97" t="s">
        <v>69</v>
      </c>
      <c r="B40" s="98"/>
      <c r="C40" s="99" t="s">
        <v>49</v>
      </c>
      <c r="D40" s="100"/>
      <c r="E40" s="100"/>
      <c r="F40" s="100"/>
      <c r="G40" s="100"/>
      <c r="H40" s="123" t="s">
        <v>70</v>
      </c>
      <c r="I40" s="14"/>
      <c r="J40" s="14"/>
      <c r="K40" s="14"/>
      <c r="L40" s="14"/>
      <c r="M40" s="14"/>
      <c r="N40" s="14"/>
      <c r="O40" s="14"/>
    </row>
    <row r="41" spans="1:15" s="15" customFormat="1" ht="18.75">
      <c r="A41" s="111" t="s">
        <v>71</v>
      </c>
      <c r="B41" s="112"/>
      <c r="C41" s="114">
        <f>B16</f>
        <v>1000</v>
      </c>
      <c r="D41" s="115"/>
      <c r="E41" s="115"/>
      <c r="F41" s="115"/>
      <c r="G41" s="121" t="s">
        <v>72</v>
      </c>
      <c r="H41" s="124">
        <f>-C41</f>
        <v>-1000</v>
      </c>
      <c r="I41" s="14"/>
      <c r="J41" s="14"/>
      <c r="K41" s="14"/>
      <c r="L41" s="14"/>
      <c r="M41" s="14"/>
      <c r="N41" s="14"/>
      <c r="O41" s="14"/>
    </row>
    <row r="42" spans="1:15" s="125" customFormat="1" ht="18.75">
      <c r="A42" s="111" t="s">
        <v>73</v>
      </c>
      <c r="B42" s="112"/>
      <c r="C42" s="114">
        <f>B17</f>
        <v>1000</v>
      </c>
      <c r="D42" s="115"/>
      <c r="E42" s="115"/>
      <c r="F42" s="115"/>
      <c r="G42" s="121" t="s">
        <v>74</v>
      </c>
      <c r="H42" s="124">
        <f>-C42/2</f>
        <v>-500</v>
      </c>
    </row>
    <row r="43" spans="1:15" s="125" customFormat="1" ht="18.75">
      <c r="A43" s="111" t="s">
        <v>75</v>
      </c>
      <c r="B43" s="112"/>
      <c r="C43" s="114">
        <f>B18</f>
        <v>1000</v>
      </c>
      <c r="D43" s="115"/>
      <c r="E43" s="115"/>
      <c r="F43" s="115"/>
      <c r="G43" s="115"/>
      <c r="H43" s="126"/>
    </row>
    <row r="44" spans="1:15" s="125" customFormat="1" ht="18.75">
      <c r="A44" s="111" t="s">
        <v>76</v>
      </c>
      <c r="B44" s="112"/>
      <c r="C44" s="114">
        <f>B14*B15</f>
        <v>1320000</v>
      </c>
      <c r="D44" s="115"/>
      <c r="E44" s="115"/>
      <c r="F44" s="115"/>
      <c r="G44" s="115"/>
      <c r="H44" s="126"/>
    </row>
    <row r="45" spans="1:15" s="125" customFormat="1" ht="18.75">
      <c r="A45" s="127" t="s">
        <v>77</v>
      </c>
      <c r="B45" s="128"/>
      <c r="C45" s="114"/>
      <c r="D45" s="115"/>
      <c r="E45" s="115"/>
      <c r="F45" s="115"/>
      <c r="G45" s="121" t="s">
        <v>78</v>
      </c>
      <c r="H45" s="129">
        <f>IF($H$35+$H$41+$H$42&gt;0,$H$35+$H$41+$H$42,0)</f>
        <v>811000</v>
      </c>
    </row>
    <row r="46" spans="1:15" s="125" customFormat="1" ht="18.75">
      <c r="A46" s="111" t="s">
        <v>79</v>
      </c>
      <c r="B46" s="130" t="s">
        <v>80</v>
      </c>
      <c r="C46" s="114">
        <f>SUM(C41:C44)</f>
        <v>1323000</v>
      </c>
      <c r="D46" s="115"/>
      <c r="E46" s="115"/>
      <c r="F46" s="115"/>
      <c r="G46" s="115"/>
      <c r="H46" s="126"/>
    </row>
    <row r="47" spans="1:15" s="125" customFormat="1" ht="18.75">
      <c r="A47" s="97" t="s">
        <v>81</v>
      </c>
      <c r="B47" s="131"/>
      <c r="C47" s="99" t="s">
        <v>82</v>
      </c>
      <c r="D47" s="99" t="s">
        <v>143</v>
      </c>
      <c r="E47" s="99" t="s">
        <v>84</v>
      </c>
      <c r="F47" s="99" t="s">
        <v>85</v>
      </c>
      <c r="G47" s="100"/>
      <c r="H47" s="123" t="s">
        <v>86</v>
      </c>
    </row>
    <row r="48" spans="1:15" s="125" customFormat="1" ht="18.75">
      <c r="A48" s="111" t="s">
        <v>144</v>
      </c>
      <c r="B48" s="130" t="s">
        <v>88</v>
      </c>
      <c r="C48" s="114">
        <f>H45</f>
        <v>811000</v>
      </c>
      <c r="D48" s="114">
        <f>H39</f>
        <v>487500</v>
      </c>
      <c r="E48" s="115"/>
      <c r="F48" s="132">
        <v>5000000</v>
      </c>
      <c r="G48" s="133" t="s">
        <v>89</v>
      </c>
      <c r="H48" s="124">
        <f>IF(F48&gt;(C48+D48),0,F48-(C48+D48))</f>
        <v>0</v>
      </c>
    </row>
    <row r="49" spans="1:8" s="15" customFormat="1" ht="18.75">
      <c r="A49" s="111" t="s">
        <v>90</v>
      </c>
      <c r="B49" s="130" t="s">
        <v>145</v>
      </c>
      <c r="C49" s="114">
        <f>H48+C48</f>
        <v>811000</v>
      </c>
      <c r="D49" s="114">
        <f>H39</f>
        <v>487500</v>
      </c>
      <c r="E49" s="114">
        <f>$C$46</f>
        <v>1323000</v>
      </c>
      <c r="F49" s="134">
        <f>B14</f>
        <v>6000000</v>
      </c>
      <c r="G49" s="121" t="s">
        <v>92</v>
      </c>
      <c r="H49" s="124">
        <f>IF(F49&gt;(C49+E49+D49),0,F49-(C49+E49+D49))</f>
        <v>0</v>
      </c>
    </row>
    <row r="50" spans="1:8" s="15" customFormat="1" ht="18.75">
      <c r="A50" s="111"/>
      <c r="B50" s="130"/>
      <c r="C50" s="115"/>
      <c r="D50" s="115"/>
      <c r="E50" s="115"/>
      <c r="F50" s="115"/>
      <c r="G50" s="115"/>
      <c r="H50" s="126"/>
    </row>
    <row r="51" spans="1:8" s="15" customFormat="1" ht="18.75">
      <c r="A51" s="111" t="s">
        <v>45</v>
      </c>
      <c r="B51" s="130"/>
      <c r="C51" s="115"/>
      <c r="D51" s="115"/>
      <c r="E51" s="115"/>
      <c r="F51" s="115"/>
      <c r="G51" s="121" t="s">
        <v>93</v>
      </c>
      <c r="H51" s="124">
        <f>IF(H45+H48+H49&gt;0,H45+H48+H49,0)</f>
        <v>811000</v>
      </c>
    </row>
    <row r="52" spans="1:8" s="15" customFormat="1" ht="18.75">
      <c r="A52" s="111" t="s">
        <v>146</v>
      </c>
      <c r="B52" s="130"/>
      <c r="C52" s="115"/>
      <c r="D52" s="115"/>
      <c r="E52" s="115"/>
      <c r="F52" s="115"/>
      <c r="G52" s="121"/>
      <c r="H52" s="124">
        <f>H39</f>
        <v>487500</v>
      </c>
    </row>
    <row r="53" spans="1:8" s="15" customFormat="1" ht="19.5" thickBot="1">
      <c r="A53" s="135" t="s">
        <v>96</v>
      </c>
      <c r="B53" s="136"/>
      <c r="C53" s="137"/>
      <c r="D53" s="137"/>
      <c r="E53" s="137"/>
      <c r="F53" s="137"/>
      <c r="G53" s="137"/>
      <c r="H53" s="138">
        <f>IF(H51+H52&gt;0, H51+H52, 0)</f>
        <v>1298500</v>
      </c>
    </row>
    <row r="54" spans="1:8" ht="21">
      <c r="A54" s="59"/>
      <c r="B54" s="59"/>
      <c r="C54" s="59"/>
      <c r="D54" s="59"/>
      <c r="E54" s="59"/>
      <c r="F54" s="59"/>
      <c r="G54" s="59"/>
      <c r="H54" s="59"/>
    </row>
    <row r="55" spans="1:8" s="15" customFormat="1" ht="18.75">
      <c r="A55" s="91" t="s">
        <v>97</v>
      </c>
      <c r="B55" s="36"/>
      <c r="C55" s="36"/>
      <c r="D55" s="36"/>
      <c r="E55" s="36"/>
      <c r="F55" s="36"/>
      <c r="G55" s="36"/>
      <c r="H55" s="36"/>
    </row>
    <row r="56" spans="1:8" s="15" customFormat="1" ht="18.75">
      <c r="A56" s="36" t="s">
        <v>147</v>
      </c>
      <c r="B56" s="36"/>
      <c r="C56" s="36"/>
      <c r="D56" s="36"/>
      <c r="E56" s="36"/>
      <c r="F56" s="36"/>
      <c r="G56" s="36"/>
      <c r="H56" s="36"/>
    </row>
    <row r="57" spans="1:8" s="15" customFormat="1" ht="18.75">
      <c r="A57" s="36" t="s">
        <v>148</v>
      </c>
      <c r="B57" s="36"/>
      <c r="C57" s="36"/>
      <c r="D57" s="36"/>
      <c r="E57" s="36"/>
      <c r="F57" s="36"/>
      <c r="G57" s="36"/>
      <c r="H57" s="36"/>
    </row>
    <row r="58" spans="1:8" s="15" customFormat="1" ht="18.75">
      <c r="A58" s="141" t="s">
        <v>100</v>
      </c>
      <c r="B58" s="36"/>
      <c r="C58" s="36"/>
      <c r="D58" s="36"/>
      <c r="E58" s="36"/>
      <c r="F58" s="36"/>
      <c r="G58" s="36"/>
      <c r="H58" s="36"/>
    </row>
  </sheetData>
  <sheetProtection selectLockedCells="1"/>
  <mergeCells count="16">
    <mergeCell ref="B10:C10"/>
    <mergeCell ref="B20:C20"/>
    <mergeCell ref="B5:C5"/>
    <mergeCell ref="B6:C6"/>
    <mergeCell ref="B7:C7"/>
    <mergeCell ref="B8:C8"/>
    <mergeCell ref="B9:C9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list" allowBlank="1" showInputMessage="1" showErrorMessage="1" sqref="B20:C20" xr:uid="{6AFC5B23-7BC5-4C08-B089-E67242B4990D}">
      <formula1>INDIRECT($B$19)</formula1>
    </dataValidation>
  </dataValidations>
  <pageMargins left="0.75" right="0.75" top="1" bottom="1" header="0.5" footer="0.5"/>
  <pageSetup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5081BF-FA8D-4271-A832-E7E5C13919DD}">
          <x14:formula1>
            <xm:f>'Form FIlls'!$E$21:$E$22</xm:f>
          </x14:formula1>
          <xm:sqref>B12 B21 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1C7C-7D13-574D-9D3D-6471FCDA9859}">
  <dimension ref="A1:O52"/>
  <sheetViews>
    <sheetView showGridLines="0" topLeftCell="A7" zoomScale="80" zoomScaleNormal="80" zoomScalePageLayoutView="90" workbookViewId="0">
      <selection activeCell="A3" sqref="A3"/>
    </sheetView>
  </sheetViews>
  <sheetFormatPr defaultColWidth="11" defaultRowHeight="15.75"/>
  <cols>
    <col min="1" max="1" width="53.625" customWidth="1"/>
    <col min="2" max="2" width="8.625" customWidth="1"/>
    <col min="3" max="5" width="20.625" customWidth="1"/>
    <col min="6" max="6" width="5.125" customWidth="1"/>
    <col min="7" max="7" width="20" customWidth="1"/>
    <col min="8" max="9" width="23.5" customWidth="1"/>
    <col min="10" max="10" width="7" customWidth="1"/>
    <col min="11" max="11" width="18.625" customWidth="1"/>
  </cols>
  <sheetData>
    <row r="1" spans="1:14" ht="28.5">
      <c r="A1" s="148" t="s">
        <v>114</v>
      </c>
      <c r="B1" s="149"/>
      <c r="D1" s="149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100000000000001" customHeight="1">
      <c r="A2" s="143" t="s">
        <v>1</v>
      </c>
      <c r="B2" s="149"/>
      <c r="D2" s="149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3.25">
      <c r="A3" s="39" t="s">
        <v>184</v>
      </c>
      <c r="B3" s="1"/>
      <c r="C3" s="149"/>
      <c r="D3" s="149"/>
      <c r="E3" s="1"/>
      <c r="F3" s="1"/>
      <c r="G3" s="1"/>
      <c r="H3" s="7"/>
      <c r="I3" s="7"/>
      <c r="J3" s="7"/>
      <c r="K3" s="1"/>
      <c r="L3" s="1"/>
      <c r="M3" s="1"/>
      <c r="N3" s="1"/>
    </row>
    <row r="4" spans="1:14" ht="23.25">
      <c r="A4" s="199"/>
      <c r="B4" s="1"/>
      <c r="C4" s="149"/>
      <c r="D4" s="149"/>
      <c r="E4" s="1"/>
      <c r="F4" s="1"/>
      <c r="G4" s="1"/>
      <c r="H4" s="7"/>
      <c r="I4" s="7"/>
      <c r="J4" s="7"/>
      <c r="K4" s="1"/>
      <c r="L4" s="1"/>
      <c r="M4" s="1"/>
      <c r="N4" s="1"/>
    </row>
    <row r="5" spans="1:14" ht="24" thickBot="1">
      <c r="A5" s="150" t="s">
        <v>2</v>
      </c>
      <c r="B5" s="229" t="s">
        <v>3</v>
      </c>
      <c r="C5" s="229"/>
      <c r="D5" s="9" t="s">
        <v>4</v>
      </c>
      <c r="L5" s="1"/>
      <c r="M5" s="1"/>
      <c r="N5" s="1"/>
    </row>
    <row r="6" spans="1:14" ht="21">
      <c r="A6" s="151" t="s">
        <v>115</v>
      </c>
      <c r="B6" s="242" t="s">
        <v>149</v>
      </c>
      <c r="C6" s="243"/>
      <c r="D6" s="14" t="s">
        <v>116</v>
      </c>
      <c r="L6" s="1"/>
      <c r="M6" s="1"/>
      <c r="N6" s="1"/>
    </row>
    <row r="7" spans="1:14" ht="21">
      <c r="A7" s="152" t="s">
        <v>117</v>
      </c>
      <c r="B7" s="244">
        <v>1</v>
      </c>
      <c r="C7" s="245"/>
      <c r="D7" s="14" t="s">
        <v>118</v>
      </c>
      <c r="L7" s="1"/>
      <c r="M7" s="1"/>
      <c r="N7" s="1"/>
    </row>
    <row r="8" spans="1:14" ht="21">
      <c r="A8" s="152" t="s">
        <v>119</v>
      </c>
      <c r="B8" s="225">
        <v>1000</v>
      </c>
      <c r="C8" s="226"/>
      <c r="D8" s="14"/>
      <c r="L8" s="1"/>
      <c r="M8" s="1"/>
      <c r="N8" s="1"/>
    </row>
    <row r="9" spans="1:14" ht="21">
      <c r="A9" s="152" t="s">
        <v>120</v>
      </c>
      <c r="B9" s="225">
        <v>6</v>
      </c>
      <c r="C9" s="226"/>
      <c r="D9" s="14"/>
      <c r="L9" s="1"/>
      <c r="M9" s="1"/>
      <c r="N9" s="1"/>
    </row>
    <row r="10" spans="1:14" ht="21">
      <c r="A10" s="152" t="s">
        <v>121</v>
      </c>
      <c r="B10" s="225">
        <v>6000</v>
      </c>
      <c r="C10" s="226"/>
      <c r="D10" s="14"/>
      <c r="L10" s="1"/>
      <c r="M10" s="1"/>
      <c r="N10" s="1"/>
    </row>
    <row r="11" spans="1:14" ht="21">
      <c r="A11" s="152" t="s">
        <v>122</v>
      </c>
      <c r="B11" s="236">
        <f>B10*1000/B9</f>
        <v>1000000</v>
      </c>
      <c r="C11" s="237"/>
      <c r="D11" s="14"/>
      <c r="L11" s="1"/>
      <c r="M11" s="1"/>
      <c r="N11" s="1"/>
    </row>
    <row r="12" spans="1:14" ht="21">
      <c r="A12" s="152" t="s">
        <v>14</v>
      </c>
      <c r="B12" s="234" t="s">
        <v>123</v>
      </c>
      <c r="C12" s="235"/>
      <c r="D12" s="14" t="s">
        <v>150</v>
      </c>
      <c r="L12" s="1"/>
      <c r="M12" s="1"/>
      <c r="N12" s="1"/>
    </row>
    <row r="13" spans="1:14" ht="21">
      <c r="A13" s="152" t="s">
        <v>125</v>
      </c>
      <c r="B13" s="238"/>
      <c r="C13" s="239"/>
      <c r="D13" s="14" t="s">
        <v>126</v>
      </c>
      <c r="L13" s="1"/>
      <c r="M13" s="1"/>
      <c r="N13" s="1"/>
    </row>
    <row r="14" spans="1:14" ht="23.25">
      <c r="A14" s="152" t="s">
        <v>151</v>
      </c>
      <c r="B14" s="232">
        <v>6000000</v>
      </c>
      <c r="C14" s="233"/>
      <c r="D14" s="149"/>
      <c r="L14" s="1"/>
      <c r="M14" s="1"/>
      <c r="N14" s="1"/>
    </row>
    <row r="15" spans="1:14" ht="23.25">
      <c r="A15" s="89" t="s">
        <v>128</v>
      </c>
      <c r="B15" s="240">
        <v>0.22</v>
      </c>
      <c r="C15" s="241"/>
      <c r="D15" s="149"/>
      <c r="L15" s="1"/>
      <c r="M15" s="1"/>
      <c r="N15" s="1"/>
    </row>
    <row r="16" spans="1:14" ht="23.25">
      <c r="A16" s="152" t="s">
        <v>38</v>
      </c>
      <c r="B16" s="232">
        <v>1000</v>
      </c>
      <c r="C16" s="233"/>
      <c r="D16" s="149"/>
      <c r="L16" s="1"/>
      <c r="M16" s="1"/>
      <c r="N16" s="1"/>
    </row>
    <row r="17" spans="1:15" ht="23.25">
      <c r="A17" s="152" t="s">
        <v>39</v>
      </c>
      <c r="B17" s="232">
        <v>1000</v>
      </c>
      <c r="C17" s="233"/>
      <c r="D17" s="149"/>
      <c r="L17" s="1"/>
      <c r="M17" s="1"/>
      <c r="N17" s="1"/>
    </row>
    <row r="18" spans="1:15" ht="23.25">
      <c r="A18" s="152" t="s">
        <v>40</v>
      </c>
      <c r="B18" s="232">
        <v>1000</v>
      </c>
      <c r="C18" s="233"/>
      <c r="D18" s="149"/>
      <c r="L18" s="1"/>
      <c r="M18" s="1"/>
      <c r="N18" s="1"/>
    </row>
    <row r="19" spans="1:15" ht="21.75" thickBot="1">
      <c r="A19" s="90" t="s">
        <v>131</v>
      </c>
      <c r="B19" s="227" t="s">
        <v>123</v>
      </c>
      <c r="C19" s="228"/>
      <c r="D19" s="91" t="s">
        <v>152</v>
      </c>
      <c r="E19" s="40"/>
      <c r="F19" s="40"/>
      <c r="G19" s="40"/>
      <c r="H19" s="40"/>
      <c r="M19" s="1"/>
      <c r="N19" s="1"/>
      <c r="O19" s="1"/>
    </row>
    <row r="20" spans="1:15" ht="21">
      <c r="A20" s="87"/>
      <c r="D20" s="91"/>
      <c r="E20" s="40"/>
      <c r="F20" s="40"/>
      <c r="G20" s="40"/>
      <c r="H20" s="40"/>
      <c r="M20" s="1"/>
      <c r="N20" s="1"/>
      <c r="O20" s="1"/>
    </row>
    <row r="21" spans="1:15" ht="24" thickBot="1">
      <c r="A21" s="154" t="s">
        <v>43</v>
      </c>
      <c r="B21" s="1"/>
      <c r="C21" s="1"/>
      <c r="D21" s="1"/>
      <c r="L21" s="1"/>
      <c r="M21" s="1"/>
      <c r="N21" s="1"/>
    </row>
    <row r="22" spans="1:15" s="140" customFormat="1" ht="21.75" thickBot="1">
      <c r="A22" s="215" t="s">
        <v>44</v>
      </c>
      <c r="B22" s="216"/>
      <c r="C22" s="217" t="s">
        <v>133</v>
      </c>
      <c r="D22" s="218" t="str">
        <f>B6</f>
        <v>N/A</v>
      </c>
      <c r="E22" s="219" t="str">
        <f>"Incentive Rate: $"&amp;B7&amp;" per Watt-hour"</f>
        <v>Incentive Rate: $1 per Watt-hour</v>
      </c>
      <c r="F22" s="155"/>
      <c r="G22" s="156"/>
      <c r="H22" s="58"/>
      <c r="I22" s="58"/>
      <c r="J22" s="58"/>
      <c r="K22" s="58"/>
      <c r="L22" s="58"/>
      <c r="M22" s="58"/>
      <c r="N22" s="58"/>
    </row>
    <row r="23" spans="1:15" s="15" customFormat="1" ht="18.75">
      <c r="A23" s="157" t="s">
        <v>134</v>
      </c>
      <c r="B23" s="158"/>
      <c r="C23" s="159" t="s">
        <v>135</v>
      </c>
      <c r="D23" s="159" t="s">
        <v>136</v>
      </c>
      <c r="E23" s="159" t="s">
        <v>137</v>
      </c>
      <c r="F23" s="160"/>
      <c r="G23" s="161"/>
      <c r="H23" s="14"/>
      <c r="I23" s="14"/>
      <c r="J23" s="14"/>
      <c r="K23" s="14"/>
      <c r="L23" s="14"/>
      <c r="M23" s="14"/>
      <c r="N23" s="14"/>
    </row>
    <row r="24" spans="1:15" s="15" customFormat="1" ht="18.75">
      <c r="A24" s="162" t="s">
        <v>138</v>
      </c>
      <c r="B24" s="163"/>
      <c r="C24" s="102">
        <f>100%</f>
        <v>1</v>
      </c>
      <c r="D24" s="102">
        <v>0.5</v>
      </c>
      <c r="E24" s="102">
        <v>0.25</v>
      </c>
      <c r="F24" s="165"/>
      <c r="G24" s="166"/>
      <c r="H24" s="14"/>
      <c r="I24" s="14"/>
      <c r="J24" s="14"/>
      <c r="K24" s="14"/>
      <c r="L24" s="14"/>
      <c r="M24" s="14"/>
      <c r="N24" s="14"/>
    </row>
    <row r="25" spans="1:15" s="15" customFormat="1" ht="18.75">
      <c r="A25" s="162" t="s">
        <v>139</v>
      </c>
      <c r="B25" s="163"/>
      <c r="C25" s="102">
        <f>IF($B$19="Yes", 50%, 100%)</f>
        <v>1</v>
      </c>
      <c r="D25" s="102">
        <f>IF($B$19="Yes", 25%, 50%)</f>
        <v>0.5</v>
      </c>
      <c r="E25" s="207">
        <f>IF($B$19="Yes", 12.5%, 25%)</f>
        <v>0.25</v>
      </c>
      <c r="F25" s="165"/>
      <c r="G25" s="166"/>
      <c r="H25" s="14"/>
      <c r="I25" s="14"/>
      <c r="J25" s="14"/>
      <c r="K25" s="14"/>
      <c r="L25" s="14"/>
      <c r="M25" s="14"/>
      <c r="N25" s="14"/>
    </row>
    <row r="26" spans="1:15" s="15" customFormat="1" ht="19.5" thickBot="1">
      <c r="A26" s="162" t="s">
        <v>140</v>
      </c>
      <c r="B26" s="163"/>
      <c r="C26" s="102">
        <f>IF($B$19="Yes", 25%, 50%)</f>
        <v>0.5</v>
      </c>
      <c r="D26" s="207">
        <f>IF($B$19="Yes", 12.5%, 25%)</f>
        <v>0.25</v>
      </c>
      <c r="E26" s="105">
        <f>IF($B$19="Yes", 6.25%, 12.5%)</f>
        <v>0.125</v>
      </c>
      <c r="F26" s="165"/>
      <c r="G26" s="166"/>
      <c r="H26" s="14"/>
      <c r="I26" s="14"/>
      <c r="J26" s="14"/>
      <c r="K26" s="14"/>
      <c r="L26" s="14"/>
      <c r="M26" s="14"/>
      <c r="N26" s="14"/>
    </row>
    <row r="27" spans="1:15" s="15" customFormat="1" ht="18.75">
      <c r="A27" s="157"/>
      <c r="B27" s="158"/>
      <c r="C27" s="159" t="s">
        <v>135</v>
      </c>
      <c r="D27" s="159" t="s">
        <v>136</v>
      </c>
      <c r="E27" s="159" t="s">
        <v>137</v>
      </c>
      <c r="F27" s="160"/>
      <c r="G27" s="161"/>
      <c r="H27" s="14"/>
      <c r="I27" s="14"/>
      <c r="J27" s="14"/>
      <c r="K27" s="14"/>
      <c r="L27" s="14"/>
      <c r="M27" s="14"/>
      <c r="N27" s="14"/>
    </row>
    <row r="28" spans="1:15" s="15" customFormat="1" ht="18.75">
      <c r="A28" s="162" t="s">
        <v>141</v>
      </c>
      <c r="B28" s="163"/>
      <c r="C28" s="106">
        <f>IF($B$13&lt;2000000,$B$13,2000000)</f>
        <v>0</v>
      </c>
      <c r="D28" s="106">
        <f>IF($B$13&gt;2000000,IF($B$13&lt;4000000,$B$13-C28,2000000),0)</f>
        <v>0</v>
      </c>
      <c r="E28" s="106">
        <f>IF($B$13&gt;4000000,IF($B$13&lt;6000000,$B$13-C28-D28,2000000),0)</f>
        <v>0</v>
      </c>
      <c r="F28" s="168"/>
      <c r="G28" s="169"/>
      <c r="H28" s="14"/>
      <c r="I28" s="14"/>
      <c r="J28" s="14"/>
      <c r="K28" s="14"/>
      <c r="L28" s="14"/>
      <c r="M28" s="14"/>
      <c r="N28" s="14"/>
    </row>
    <row r="29" spans="1:15" s="15" customFormat="1" ht="18.75">
      <c r="A29" s="162" t="s">
        <v>138</v>
      </c>
      <c r="B29" s="170">
        <f>IF($B$9&gt;=2,2,$B$9)</f>
        <v>2</v>
      </c>
      <c r="C29" s="108">
        <f>IF((IF($B$9&gt;=2,2,$B$9)*$B$11+C28)&lt;2000000,IF($B$9&gt;=2,2,$B$9)*$B$11,2000000-C28)</f>
        <v>2000000</v>
      </c>
      <c r="D29" s="109">
        <f>IF((IF($B$9&gt;=2,2,$B$9)*$B$11+C28)&gt;2000000,IF(IF($B$9&gt;=2,2,$B$9)*$B$11+C28+D28&lt;4000000,(IF($B$9&gt;=2,2,$B$9)*$B$11-C29),2000000-D28),0)</f>
        <v>0</v>
      </c>
      <c r="E29" s="109">
        <f>IF(IF($B$9&gt;=2,2,$B$9)*$B$11+C28+D28&gt;4000000,IF(IF($B$9&gt;=2,2,$B$9)*$B$11+C28+D28+E28&lt;6000000,IF($B$9&gt;=2,2,$B$9)*$B$11-D29-C29,2000000-E28),0)</f>
        <v>0</v>
      </c>
      <c r="F29" s="165"/>
      <c r="G29" s="171"/>
      <c r="H29" s="14"/>
      <c r="I29" s="14"/>
      <c r="J29" s="14"/>
      <c r="K29" s="14"/>
      <c r="L29" s="14"/>
      <c r="M29" s="14"/>
      <c r="N29" s="14"/>
    </row>
    <row r="30" spans="1:15" s="15" customFormat="1" ht="18.75">
      <c r="A30" s="162" t="s">
        <v>139</v>
      </c>
      <c r="B30" s="170">
        <f>IF($B$9&gt;=4,2,IF($B$9-2&lt;0,0,$B$9-2))</f>
        <v>2</v>
      </c>
      <c r="C30" s="108">
        <f>IF((IF($B$9&gt;=4,2,IF($B$9-2&lt;0,0,$B$9-2))*$B$11+C29+C28)&lt;2000000,IF($B$9&gt;=4,2,IF($B$9-2&lt;0,0,$B$9-2))*$B$11,2000000-C29-C28)</f>
        <v>0</v>
      </c>
      <c r="D30" s="109">
        <f>IF((IF($B$9&gt;=4,2,IF($B$9-2&lt;0,0,$B$9-2))*$B$11+C29+C28)&gt;2000000,IF((IF($B$9&gt;=4,2,IF($B$9-2&lt;0,0,$B$9-2))*$B$11+C29+D29+C28+D28)&lt;4000000,(IF($B$9&gt;=4,2,IF($B$9-2&lt;0,0,$B$9-2))*$B$11-C30),2000000-D29-D28),0)</f>
        <v>2000000</v>
      </c>
      <c r="E30" s="109">
        <f>IF((IF($B$9&gt;=4,2,IF($B$9-2&lt;0,0,$B$9-2))*$B$11+SUM(C28:D29))&gt;4000000,IF((IF($B$9&gt;=4,2,IF($B$9-2&lt;0,0,$B$9-2))*$B$11+SUM(C28:E29))&lt;6000000,IF($B$9&gt;=4,2,IF($B$9-2&lt;0,0,$B$9-2))*$B$11-D30-C30,2000000-E29-E28),0)</f>
        <v>0</v>
      </c>
      <c r="F30" s="165"/>
      <c r="G30" s="171"/>
      <c r="H30" s="14"/>
      <c r="I30" s="14"/>
      <c r="J30" s="14"/>
      <c r="K30" s="14"/>
      <c r="L30" s="14"/>
      <c r="M30" s="14"/>
      <c r="N30" s="14"/>
    </row>
    <row r="31" spans="1:15" s="15" customFormat="1" ht="18.75">
      <c r="A31" s="162" t="s">
        <v>140</v>
      </c>
      <c r="B31" s="170">
        <f>IF($B$9&gt;=6,2,IF($B$9-4&lt;0,0,$B$9-4))</f>
        <v>2</v>
      </c>
      <c r="C31" s="108">
        <f>IF((IF($B$9&gt;=6,2,IF($B$9-4&lt;0,0,$B$9-4))*$B$11+SUM(C28:C30))&lt;2000000,IF($B$9&gt;=6,2,IF($B$9-4&lt;0,0,$B$9-4))*$B$11,2000000-SUM(C28:C30))</f>
        <v>0</v>
      </c>
      <c r="D31" s="109">
        <f>IF((IF($B$9&gt;=6,2,IF($B$9-4&lt;0,0,$B$9-4))*$B$11+SUM(C28:C30))&gt;2000000,IF((IF($B$9&gt;=6,2,IF($B$9-4&lt;0,0,$B$9-4))*$B$11+SUM(C28:D30))&lt;4000000,(IF($B$9&gt;=6,2,IF($B$9-4&lt;0,0,$B$9-4))*$B$11-C31),2000000-SUM(D28:D30)),0)</f>
        <v>0</v>
      </c>
      <c r="E31" s="109">
        <f>IF((IF($B$9&gt;=6,2,IF($B$9-4&lt;0,0,$B$9-4))*$B$11+SUM(C28:D30))&gt;4000000,IF((IF($B$9&gt;=6,2,IF($B$9-4&lt;0,0,$B$9-4))*$B$11+SUM(C28:E30))&lt;6000000,IF($B$9&gt;=6,2,IF($B$9-4&lt;0,0,$B$9-4))*$B$11-D31-C31,2000000-SUM(E28:E30)),0)</f>
        <v>2000000</v>
      </c>
      <c r="F31" s="165"/>
      <c r="G31" s="171"/>
      <c r="H31" s="14"/>
      <c r="I31" s="14"/>
      <c r="J31" s="14"/>
      <c r="K31" s="14"/>
      <c r="L31" s="14"/>
      <c r="M31" s="14"/>
      <c r="N31" s="14"/>
    </row>
    <row r="32" spans="1:15" s="15" customFormat="1" ht="18.75">
      <c r="A32" s="172" t="s">
        <v>54</v>
      </c>
      <c r="B32" s="173"/>
      <c r="C32" s="174"/>
      <c r="D32" s="175"/>
      <c r="E32" s="175"/>
      <c r="F32" s="174"/>
      <c r="G32" s="176">
        <f>SUMPRODUCT(C24:E26,C29:E31)*B7</f>
        <v>3250000</v>
      </c>
      <c r="H32" s="14"/>
      <c r="I32" s="14"/>
      <c r="J32" s="14"/>
      <c r="K32" s="14"/>
      <c r="L32" s="14"/>
      <c r="M32" s="14"/>
      <c r="N32" s="14"/>
    </row>
    <row r="33" spans="1:14" s="15" customFormat="1" ht="18.75">
      <c r="A33" s="172" t="s">
        <v>55</v>
      </c>
      <c r="B33" s="173"/>
      <c r="C33" s="174"/>
      <c r="D33" s="175"/>
      <c r="E33" s="175"/>
      <c r="F33" s="174"/>
      <c r="G33" s="177">
        <f>IF(B12="Yes",0.2*G32,0)</f>
        <v>0</v>
      </c>
      <c r="H33" s="14"/>
      <c r="I33" s="14"/>
      <c r="J33" s="14"/>
      <c r="K33" s="14"/>
      <c r="L33" s="14"/>
      <c r="M33" s="14"/>
      <c r="N33" s="14"/>
    </row>
    <row r="34" spans="1:14" s="15" customFormat="1" ht="18.75">
      <c r="A34" s="178" t="s">
        <v>56</v>
      </c>
      <c r="B34" s="179"/>
      <c r="C34" s="180"/>
      <c r="D34" s="175"/>
      <c r="E34" s="175"/>
      <c r="F34" s="181" t="s">
        <v>57</v>
      </c>
      <c r="G34" s="122">
        <f>G33+G32</f>
        <v>3250000</v>
      </c>
      <c r="H34" s="14"/>
      <c r="I34" s="14"/>
      <c r="J34" s="14"/>
      <c r="K34" s="14"/>
      <c r="L34" s="14"/>
      <c r="M34" s="14"/>
      <c r="N34" s="14"/>
    </row>
    <row r="35" spans="1:14" s="15" customFormat="1" ht="18.75">
      <c r="A35" s="162" t="s">
        <v>69</v>
      </c>
      <c r="B35" s="163"/>
      <c r="C35" s="182" t="s">
        <v>49</v>
      </c>
      <c r="D35" s="168"/>
      <c r="E35" s="168"/>
      <c r="F35" s="168"/>
      <c r="G35" s="183" t="s">
        <v>70</v>
      </c>
      <c r="H35" s="14"/>
      <c r="I35" s="14"/>
      <c r="J35" s="14"/>
      <c r="K35" s="14"/>
      <c r="L35" s="14"/>
      <c r="M35" s="14"/>
      <c r="N35" s="14"/>
    </row>
    <row r="36" spans="1:14" s="15" customFormat="1" ht="18.75">
      <c r="A36" s="172" t="s">
        <v>38</v>
      </c>
      <c r="B36" s="173"/>
      <c r="C36" s="175">
        <f>B16</f>
        <v>1000</v>
      </c>
      <c r="D36" s="174"/>
      <c r="E36" s="174"/>
      <c r="F36" s="181" t="s">
        <v>60</v>
      </c>
      <c r="G36" s="184">
        <v>0</v>
      </c>
      <c r="H36" s="14"/>
      <c r="I36" s="14"/>
      <c r="J36" s="14"/>
      <c r="K36" s="14"/>
      <c r="L36" s="14"/>
      <c r="M36" s="14"/>
      <c r="N36" s="14"/>
    </row>
    <row r="37" spans="1:14" s="15" customFormat="1" ht="18.75">
      <c r="A37" s="172" t="s">
        <v>39</v>
      </c>
      <c r="B37" s="173"/>
      <c r="C37" s="175">
        <f>B17</f>
        <v>1000</v>
      </c>
      <c r="D37" s="174"/>
      <c r="E37" s="174"/>
      <c r="F37" s="181" t="s">
        <v>72</v>
      </c>
      <c r="G37" s="184">
        <v>0</v>
      </c>
    </row>
    <row r="38" spans="1:14" s="15" customFormat="1" ht="18.75">
      <c r="A38" s="172" t="s">
        <v>40</v>
      </c>
      <c r="B38" s="173"/>
      <c r="C38" s="175">
        <f>B18</f>
        <v>1000</v>
      </c>
      <c r="D38" s="174"/>
      <c r="E38" s="174"/>
      <c r="F38" s="174"/>
      <c r="G38" s="185"/>
    </row>
    <row r="39" spans="1:14" s="15" customFormat="1" ht="18.75">
      <c r="A39" s="172" t="s">
        <v>153</v>
      </c>
      <c r="B39" s="173"/>
      <c r="C39" s="114">
        <f>B14*B15</f>
        <v>1320000</v>
      </c>
      <c r="D39" s="174"/>
      <c r="E39" s="174"/>
      <c r="F39" s="174"/>
      <c r="G39" s="185"/>
    </row>
    <row r="40" spans="1:14" s="15" customFormat="1" ht="18.75">
      <c r="A40" s="186" t="s">
        <v>77</v>
      </c>
      <c r="B40" s="187"/>
      <c r="C40" s="114"/>
      <c r="D40" s="174"/>
      <c r="E40" s="174"/>
      <c r="F40" s="181" t="s">
        <v>154</v>
      </c>
      <c r="G40" s="188">
        <f>IF($G$34+$G$36+$G$37&gt;0,$G$34+$G$36+$G$37,0)</f>
        <v>3250000</v>
      </c>
    </row>
    <row r="41" spans="1:14" s="15" customFormat="1" ht="18.75">
      <c r="A41" s="172" t="s">
        <v>79</v>
      </c>
      <c r="B41" s="189" t="s">
        <v>155</v>
      </c>
      <c r="C41" s="114">
        <f>SUM(C36:C39)</f>
        <v>1323000</v>
      </c>
      <c r="D41" s="174"/>
      <c r="E41" s="174"/>
      <c r="F41" s="174"/>
      <c r="G41" s="185"/>
    </row>
    <row r="42" spans="1:14" s="15" customFormat="1" ht="18.75">
      <c r="A42" s="162" t="s">
        <v>81</v>
      </c>
      <c r="B42" s="190"/>
      <c r="C42" s="182" t="s">
        <v>82</v>
      </c>
      <c r="D42" s="182" t="s">
        <v>84</v>
      </c>
      <c r="E42" s="182" t="s">
        <v>85</v>
      </c>
      <c r="F42" s="168"/>
      <c r="G42" s="183" t="s">
        <v>86</v>
      </c>
    </row>
    <row r="43" spans="1:14" s="15" customFormat="1" ht="18.75">
      <c r="A43" s="172" t="s">
        <v>144</v>
      </c>
      <c r="B43" s="189" t="s">
        <v>80</v>
      </c>
      <c r="C43" s="175">
        <f>G40</f>
        <v>3250000</v>
      </c>
      <c r="D43" s="174"/>
      <c r="E43" s="191">
        <v>5000000</v>
      </c>
      <c r="F43" s="192" t="s">
        <v>88</v>
      </c>
      <c r="G43" s="184">
        <f>IF(E43&gt;C43,0,E43-C43)</f>
        <v>0</v>
      </c>
    </row>
    <row r="44" spans="1:14" s="15" customFormat="1" ht="18.75">
      <c r="A44" s="172" t="s">
        <v>90</v>
      </c>
      <c r="B44" s="189" t="s">
        <v>156</v>
      </c>
      <c r="C44" s="175">
        <f>G43+C43</f>
        <v>3250000</v>
      </c>
      <c r="D44" s="175">
        <f>$C$41</f>
        <v>1323000</v>
      </c>
      <c r="E44" s="193">
        <f>B14</f>
        <v>6000000</v>
      </c>
      <c r="F44" s="181" t="s">
        <v>107</v>
      </c>
      <c r="G44" s="184">
        <f>IF(E44&gt;(C44+D44),0,E44-(C44+D44))</f>
        <v>0</v>
      </c>
    </row>
    <row r="45" spans="1:14" s="15" customFormat="1" ht="18.75">
      <c r="A45" s="172"/>
      <c r="B45" s="189"/>
      <c r="C45" s="174"/>
      <c r="D45" s="174"/>
      <c r="E45" s="174"/>
      <c r="F45" s="174"/>
      <c r="G45" s="185"/>
    </row>
    <row r="46" spans="1:14" s="15" customFormat="1" ht="18.75">
      <c r="A46" s="172" t="s">
        <v>45</v>
      </c>
      <c r="B46" s="189"/>
      <c r="C46" s="174"/>
      <c r="D46" s="174"/>
      <c r="E46" s="174"/>
      <c r="F46" s="181" t="s">
        <v>92</v>
      </c>
      <c r="G46" s="184">
        <f>IF(G40+G43+G44&gt;0,G40+G43+G44,0)</f>
        <v>3250000</v>
      </c>
    </row>
    <row r="47" spans="1:14" s="15" customFormat="1" ht="19.5" thickBot="1">
      <c r="A47" s="194" t="s">
        <v>96</v>
      </c>
      <c r="B47" s="195"/>
      <c r="C47" s="196"/>
      <c r="D47" s="196"/>
      <c r="E47" s="196"/>
      <c r="F47" s="196"/>
      <c r="G47" s="197">
        <f>G46</f>
        <v>3250000</v>
      </c>
    </row>
    <row r="48" spans="1:14" ht="21">
      <c r="A48" s="58"/>
      <c r="B48" s="58"/>
      <c r="C48" s="58"/>
      <c r="D48" s="58"/>
      <c r="E48" s="58"/>
      <c r="F48" s="58"/>
      <c r="G48" s="58"/>
    </row>
    <row r="49" spans="1:7" s="15" customFormat="1" ht="18.75">
      <c r="A49" s="14" t="s">
        <v>97</v>
      </c>
      <c r="B49" s="14"/>
      <c r="C49" s="14"/>
      <c r="D49" s="14"/>
      <c r="E49" s="14"/>
      <c r="F49" s="14"/>
      <c r="G49" s="14"/>
    </row>
    <row r="50" spans="1:7" s="15" customFormat="1" ht="18.75">
      <c r="A50" s="14" t="s">
        <v>157</v>
      </c>
      <c r="B50" s="14"/>
      <c r="C50" s="14"/>
      <c r="D50" s="14"/>
      <c r="E50" s="14"/>
      <c r="F50" s="14"/>
      <c r="G50" s="14"/>
    </row>
    <row r="51" spans="1:7" s="15" customFormat="1" ht="18.75">
      <c r="A51" s="14" t="s">
        <v>158</v>
      </c>
      <c r="B51" s="14"/>
      <c r="C51" s="14"/>
      <c r="D51" s="14"/>
      <c r="E51" s="14"/>
      <c r="F51" s="14"/>
      <c r="G51" s="14"/>
    </row>
    <row r="52" spans="1:7" s="15" customFormat="1" ht="18.75">
      <c r="A52" s="198" t="s">
        <v>159</v>
      </c>
      <c r="B52" s="14"/>
      <c r="C52" s="14"/>
      <c r="D52" s="14"/>
      <c r="E52" s="14"/>
      <c r="F52" s="14"/>
      <c r="G52" s="14"/>
    </row>
  </sheetData>
  <sheetProtection selectLockedCells="1"/>
  <mergeCells count="15">
    <mergeCell ref="B10:C10"/>
    <mergeCell ref="B5:C5"/>
    <mergeCell ref="B6:C6"/>
    <mergeCell ref="B7:C7"/>
    <mergeCell ref="B8:C8"/>
    <mergeCell ref="B9:C9"/>
    <mergeCell ref="B19:C19"/>
    <mergeCell ref="B17:C17"/>
    <mergeCell ref="B18:C18"/>
    <mergeCell ref="B11:C11"/>
    <mergeCell ref="B12:C12"/>
    <mergeCell ref="B13:C13"/>
    <mergeCell ref="B14:C14"/>
    <mergeCell ref="B15:C15"/>
    <mergeCell ref="B16:C16"/>
  </mergeCells>
  <dataValidations count="1">
    <dataValidation type="list" allowBlank="1" showInputMessage="1" showErrorMessage="1" sqref="B19:C19" xr:uid="{C96B53B7-41F0-405E-B81A-506D8BB687FF}">
      <formula1>INDIRECT($B$19)</formula1>
    </dataValidation>
  </dataValidation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F8AB27-D316-604D-AC00-52AC11690425}">
          <x14:formula1>
            <xm:f>'Form FIlls'!$E$21:$E$22</xm:f>
          </x14:formula1>
          <xm:sqref>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showGridLines="0" zoomScale="80" zoomScaleNormal="80" zoomScalePageLayoutView="90" workbookViewId="0">
      <selection activeCell="G45" sqref="G45"/>
    </sheetView>
  </sheetViews>
  <sheetFormatPr defaultColWidth="11" defaultRowHeight="15.75"/>
  <cols>
    <col min="1" max="1" width="56.5" customWidth="1"/>
    <col min="2" max="2" width="8.625" customWidth="1"/>
    <col min="3" max="5" width="20.625" customWidth="1"/>
    <col min="6" max="6" width="5.125" customWidth="1"/>
    <col min="7" max="7" width="20" customWidth="1"/>
    <col min="8" max="9" width="23.5" customWidth="1"/>
    <col min="10" max="10" width="7" customWidth="1"/>
    <col min="11" max="11" width="18.625" customWidth="1"/>
  </cols>
  <sheetData>
    <row r="1" spans="1:14" ht="28.5">
      <c r="A1" s="38" t="s">
        <v>114</v>
      </c>
      <c r="B1" s="53"/>
      <c r="C1" s="39"/>
      <c r="D1" s="53"/>
      <c r="E1" s="35"/>
      <c r="F1" s="35"/>
      <c r="G1" s="35"/>
      <c r="H1" s="1"/>
      <c r="I1" s="1"/>
      <c r="J1" s="1"/>
      <c r="K1" s="1"/>
      <c r="L1" s="1"/>
      <c r="M1" s="1"/>
      <c r="N1" s="1"/>
    </row>
    <row r="2" spans="1:14" ht="20.100000000000001" customHeight="1">
      <c r="A2" s="143" t="s">
        <v>1</v>
      </c>
      <c r="B2" s="53"/>
      <c r="C2" s="39"/>
      <c r="D2" s="53"/>
      <c r="E2" s="35"/>
      <c r="F2" s="35"/>
      <c r="G2" s="35"/>
      <c r="H2" s="1"/>
      <c r="I2" s="1"/>
      <c r="J2" s="1"/>
      <c r="K2" s="1"/>
      <c r="L2" s="1"/>
      <c r="M2" s="1"/>
      <c r="N2" s="1"/>
    </row>
    <row r="3" spans="1:14" ht="23.25">
      <c r="A3" s="39" t="s">
        <v>101</v>
      </c>
      <c r="B3" s="35"/>
      <c r="C3" s="53"/>
      <c r="D3" s="53"/>
      <c r="E3" s="35"/>
      <c r="F3" s="35"/>
      <c r="G3" s="35"/>
      <c r="H3" s="7"/>
      <c r="I3" s="7"/>
      <c r="J3" s="7"/>
      <c r="K3" s="1"/>
      <c r="L3" s="1"/>
      <c r="M3" s="1"/>
      <c r="N3" s="1"/>
    </row>
    <row r="4" spans="1:14" ht="23.25">
      <c r="A4" s="39"/>
      <c r="B4" s="35"/>
      <c r="C4" s="53"/>
      <c r="D4" s="53"/>
      <c r="E4" s="35"/>
      <c r="F4" s="35"/>
      <c r="G4" s="35"/>
      <c r="H4" s="7"/>
      <c r="I4" s="7"/>
      <c r="J4" s="7"/>
      <c r="K4" s="1"/>
      <c r="L4" s="1"/>
      <c r="M4" s="1"/>
      <c r="N4" s="1"/>
    </row>
    <row r="5" spans="1:14" ht="24" thickBot="1">
      <c r="A5" s="54" t="s">
        <v>2</v>
      </c>
      <c r="B5" s="247" t="s">
        <v>3</v>
      </c>
      <c r="C5" s="247"/>
      <c r="D5" s="87" t="s">
        <v>4</v>
      </c>
      <c r="E5" s="40"/>
      <c r="F5" s="40"/>
      <c r="G5" s="40"/>
      <c r="L5" s="1"/>
      <c r="M5" s="1"/>
      <c r="N5" s="1"/>
    </row>
    <row r="6" spans="1:14" ht="21">
      <c r="A6" s="88" t="s">
        <v>115</v>
      </c>
      <c r="B6" s="230">
        <v>3</v>
      </c>
      <c r="C6" s="231"/>
      <c r="D6" s="91" t="s">
        <v>116</v>
      </c>
      <c r="E6" s="40"/>
      <c r="F6" s="40"/>
      <c r="G6" s="40"/>
      <c r="L6" s="1"/>
      <c r="M6" s="1"/>
      <c r="N6" s="1"/>
    </row>
    <row r="7" spans="1:14" ht="21">
      <c r="A7" s="89" t="s">
        <v>117</v>
      </c>
      <c r="B7" s="233">
        <v>0.35</v>
      </c>
      <c r="C7" s="233"/>
      <c r="D7" s="91" t="s">
        <v>118</v>
      </c>
      <c r="E7" s="40"/>
      <c r="F7" s="40"/>
      <c r="G7" s="40"/>
      <c r="L7" s="1"/>
      <c r="M7" s="1"/>
      <c r="N7" s="1"/>
    </row>
    <row r="8" spans="1:14" ht="21">
      <c r="A8" s="89" t="s">
        <v>119</v>
      </c>
      <c r="B8" s="226">
        <v>20</v>
      </c>
      <c r="C8" s="226"/>
      <c r="D8" s="91"/>
      <c r="E8" s="40"/>
      <c r="F8" s="40"/>
      <c r="G8" s="40"/>
      <c r="L8" s="1"/>
      <c r="M8" s="1"/>
      <c r="N8" s="1"/>
    </row>
    <row r="9" spans="1:14" ht="21">
      <c r="A9" s="89" t="s">
        <v>120</v>
      </c>
      <c r="B9" s="226">
        <v>4</v>
      </c>
      <c r="C9" s="226"/>
      <c r="D9" s="91"/>
      <c r="E9" s="40"/>
      <c r="F9" s="40"/>
      <c r="G9" s="40"/>
      <c r="L9" s="1"/>
      <c r="M9" s="1"/>
      <c r="N9" s="1"/>
    </row>
    <row r="10" spans="1:14" ht="21">
      <c r="A10" s="89" t="s">
        <v>121</v>
      </c>
      <c r="B10" s="226">
        <v>80</v>
      </c>
      <c r="C10" s="226"/>
      <c r="D10" s="91"/>
      <c r="E10" s="40"/>
      <c r="F10" s="40"/>
      <c r="G10" s="40"/>
      <c r="L10" s="1"/>
      <c r="M10" s="1"/>
      <c r="N10" s="1"/>
    </row>
    <row r="11" spans="1:14" ht="21">
      <c r="A11" s="89" t="s">
        <v>122</v>
      </c>
      <c r="B11" s="237">
        <f>B10*1000/B9</f>
        <v>20000</v>
      </c>
      <c r="C11" s="237"/>
      <c r="D11" s="91"/>
      <c r="E11" s="40"/>
      <c r="F11" s="40"/>
      <c r="G11" s="40"/>
      <c r="L11" s="1"/>
      <c r="M11" s="1"/>
      <c r="N11" s="1"/>
    </row>
    <row r="12" spans="1:14" ht="21">
      <c r="A12" s="89" t="s">
        <v>14</v>
      </c>
      <c r="B12" s="235" t="b">
        <v>0</v>
      </c>
      <c r="C12" s="235"/>
      <c r="D12" s="139" t="s">
        <v>150</v>
      </c>
      <c r="E12" s="40"/>
      <c r="F12" s="40"/>
      <c r="G12" s="40"/>
      <c r="L12" s="1"/>
      <c r="M12" s="1"/>
      <c r="N12" s="1"/>
    </row>
    <row r="13" spans="1:14" ht="21">
      <c r="A13" s="89" t="s">
        <v>125</v>
      </c>
      <c r="B13" s="239">
        <v>0</v>
      </c>
      <c r="C13" s="239"/>
      <c r="D13" s="91" t="s">
        <v>126</v>
      </c>
      <c r="E13" s="40"/>
      <c r="F13" s="40"/>
      <c r="G13" s="40"/>
      <c r="L13" s="1"/>
      <c r="M13" s="1"/>
      <c r="N13" s="1"/>
    </row>
    <row r="14" spans="1:14" ht="23.25">
      <c r="A14" s="89" t="s">
        <v>127</v>
      </c>
      <c r="B14" s="233">
        <v>80000</v>
      </c>
      <c r="C14" s="233"/>
      <c r="D14" s="55"/>
      <c r="E14" s="40"/>
      <c r="F14" s="40"/>
      <c r="G14" s="40"/>
      <c r="L14" s="1"/>
      <c r="M14" s="1"/>
      <c r="N14" s="1"/>
    </row>
    <row r="15" spans="1:14" ht="23.25">
      <c r="A15" s="89" t="s">
        <v>128</v>
      </c>
      <c r="B15" s="241">
        <v>0.22</v>
      </c>
      <c r="C15" s="241"/>
      <c r="D15" s="55"/>
      <c r="E15" s="40"/>
      <c r="F15" s="40"/>
      <c r="G15" s="40"/>
      <c r="L15" s="1"/>
      <c r="M15" s="1"/>
      <c r="N15" s="1"/>
    </row>
    <row r="16" spans="1:14" ht="23.25">
      <c r="A16" s="89" t="s">
        <v>38</v>
      </c>
      <c r="B16" s="233">
        <v>1000</v>
      </c>
      <c r="C16" s="233"/>
      <c r="D16" s="55"/>
      <c r="E16" s="40"/>
      <c r="F16" s="40"/>
      <c r="G16" s="40"/>
      <c r="L16" s="1"/>
      <c r="M16" s="1"/>
      <c r="N16" s="1"/>
    </row>
    <row r="17" spans="1:14" ht="23.25">
      <c r="A17" s="89" t="s">
        <v>39</v>
      </c>
      <c r="B17" s="233">
        <v>1000</v>
      </c>
      <c r="C17" s="233"/>
      <c r="D17" s="55"/>
      <c r="E17" s="40"/>
      <c r="F17" s="40"/>
      <c r="G17" s="40"/>
      <c r="L17" s="1"/>
      <c r="M17" s="1"/>
      <c r="N17" s="1"/>
    </row>
    <row r="18" spans="1:14" ht="24" thickBot="1">
      <c r="A18" s="90" t="s">
        <v>40</v>
      </c>
      <c r="B18" s="246">
        <v>1000</v>
      </c>
      <c r="C18" s="246"/>
      <c r="D18" s="55"/>
      <c r="E18" s="40"/>
      <c r="F18" s="40"/>
      <c r="G18" s="40"/>
      <c r="L18" s="1"/>
      <c r="M18" s="1"/>
      <c r="N18" s="1"/>
    </row>
    <row r="19" spans="1:14" ht="23.25">
      <c r="A19" s="55"/>
      <c r="B19" s="55"/>
      <c r="C19" s="55"/>
      <c r="D19" s="55"/>
      <c r="E19" s="40"/>
      <c r="F19" s="40"/>
      <c r="G19" s="40"/>
      <c r="L19" s="1"/>
      <c r="M19" s="1"/>
      <c r="N19" s="1"/>
    </row>
    <row r="20" spans="1:14" ht="24" thickBot="1">
      <c r="A20" s="46" t="s">
        <v>43</v>
      </c>
      <c r="B20" s="37"/>
      <c r="C20" s="37"/>
      <c r="D20" s="37"/>
      <c r="E20" s="40"/>
      <c r="F20" s="40"/>
      <c r="G20" s="40"/>
      <c r="L20" s="1"/>
      <c r="M20" s="1"/>
      <c r="N20" s="1"/>
    </row>
    <row r="21" spans="1:14" s="140" customFormat="1" ht="21.75" thickBot="1">
      <c r="A21" s="210" t="s">
        <v>44</v>
      </c>
      <c r="B21" s="211"/>
      <c r="C21" s="212" t="s">
        <v>133</v>
      </c>
      <c r="D21" s="213">
        <f>B6</f>
        <v>3</v>
      </c>
      <c r="E21" s="214" t="str">
        <f>"Incentive Rate: $"&amp;B7&amp;" per Watt-hour"</f>
        <v>Incentive Rate: $0.35 per Watt-hour</v>
      </c>
      <c r="F21" s="56"/>
      <c r="G21" s="57"/>
      <c r="H21" s="58"/>
      <c r="I21" s="58"/>
      <c r="J21" s="58"/>
      <c r="K21" s="58"/>
      <c r="L21" s="58"/>
      <c r="M21" s="58"/>
      <c r="N21" s="58"/>
    </row>
    <row r="22" spans="1:14" s="15" customFormat="1" ht="18.75">
      <c r="A22" s="92" t="s">
        <v>134</v>
      </c>
      <c r="B22" s="93"/>
      <c r="C22" s="94" t="s">
        <v>135</v>
      </c>
      <c r="D22" s="94" t="s">
        <v>136</v>
      </c>
      <c r="E22" s="94" t="s">
        <v>137</v>
      </c>
      <c r="F22" s="95"/>
      <c r="G22" s="96"/>
      <c r="H22" s="14"/>
      <c r="I22" s="14"/>
      <c r="J22" s="14"/>
      <c r="K22" s="14"/>
      <c r="L22" s="14"/>
      <c r="M22" s="14"/>
      <c r="N22" s="14"/>
    </row>
    <row r="23" spans="1:14" s="15" customFormat="1" ht="18.75">
      <c r="A23" s="97" t="s">
        <v>138</v>
      </c>
      <c r="B23" s="98"/>
      <c r="C23" s="102">
        <f>100%</f>
        <v>1</v>
      </c>
      <c r="D23" s="102">
        <v>0.5</v>
      </c>
      <c r="E23" s="102">
        <v>0.25</v>
      </c>
      <c r="F23" s="103"/>
      <c r="G23" s="104"/>
      <c r="H23" s="14"/>
      <c r="I23" s="14"/>
      <c r="J23" s="14"/>
      <c r="K23" s="14"/>
      <c r="L23" s="14"/>
      <c r="M23" s="14"/>
      <c r="N23" s="14"/>
    </row>
    <row r="24" spans="1:14" s="15" customFormat="1" ht="18.75">
      <c r="A24" s="97" t="s">
        <v>139</v>
      </c>
      <c r="B24" s="98"/>
      <c r="C24" s="102">
        <v>0.5</v>
      </c>
      <c r="D24" s="102">
        <v>0.25</v>
      </c>
      <c r="E24" s="105">
        <v>0.125</v>
      </c>
      <c r="F24" s="103"/>
      <c r="G24" s="104"/>
      <c r="H24" s="14"/>
      <c r="I24" s="14"/>
      <c r="J24" s="14"/>
      <c r="K24" s="14"/>
      <c r="L24" s="14"/>
      <c r="M24" s="14"/>
      <c r="N24" s="14"/>
    </row>
    <row r="25" spans="1:14" s="15" customFormat="1" ht="19.5" thickBot="1">
      <c r="A25" s="97" t="s">
        <v>140</v>
      </c>
      <c r="B25" s="98"/>
      <c r="C25" s="102">
        <v>0.25</v>
      </c>
      <c r="D25" s="105">
        <v>0.125</v>
      </c>
      <c r="E25" s="105">
        <v>6.25E-2</v>
      </c>
      <c r="F25" s="103"/>
      <c r="G25" s="104"/>
      <c r="H25" s="14"/>
      <c r="I25" s="14"/>
      <c r="J25" s="14"/>
      <c r="K25" s="14"/>
      <c r="L25" s="14"/>
      <c r="M25" s="14"/>
      <c r="N25" s="14"/>
    </row>
    <row r="26" spans="1:14" s="15" customFormat="1" ht="18.75">
      <c r="A26" s="92"/>
      <c r="B26" s="93"/>
      <c r="C26" s="94" t="s">
        <v>135</v>
      </c>
      <c r="D26" s="94" t="s">
        <v>136</v>
      </c>
      <c r="E26" s="94" t="s">
        <v>137</v>
      </c>
      <c r="F26" s="95"/>
      <c r="G26" s="96"/>
      <c r="H26" s="14"/>
      <c r="I26" s="14"/>
      <c r="J26" s="14"/>
      <c r="K26" s="14"/>
      <c r="L26" s="14"/>
      <c r="M26" s="14"/>
      <c r="N26" s="14"/>
    </row>
    <row r="27" spans="1:14" s="15" customFormat="1" ht="18.75">
      <c r="A27" s="97" t="s">
        <v>141</v>
      </c>
      <c r="B27" s="98"/>
      <c r="C27" s="106">
        <f>IF($B$13&lt;2000000,$B$13,2000000)</f>
        <v>0</v>
      </c>
      <c r="D27" s="106">
        <f>IF($B$13&gt;2000000,IF($B$13&lt;4000000,$B$13-C27,2000000),0)</f>
        <v>0</v>
      </c>
      <c r="E27" s="106">
        <f>IF($B$13&gt;4000000,IF($B$13&lt;6000000,$B$13-C27-D27,2000000),0)</f>
        <v>0</v>
      </c>
      <c r="F27" s="100"/>
      <c r="G27" s="101"/>
      <c r="H27" s="14"/>
      <c r="I27" s="14"/>
      <c r="J27" s="14"/>
      <c r="K27" s="14"/>
      <c r="L27" s="14"/>
      <c r="M27" s="14"/>
      <c r="N27" s="14"/>
    </row>
    <row r="28" spans="1:14" s="15" customFormat="1" ht="18.75">
      <c r="A28" s="97" t="s">
        <v>138</v>
      </c>
      <c r="B28" s="107">
        <f>IF($B$9&gt;=2,2,$B$9)</f>
        <v>2</v>
      </c>
      <c r="C28" s="108">
        <f>IF((IF($B$9&gt;=2,2,$B$9)*$B$11+C27)&lt;2000000,IF($B$9&gt;=2,2,$B$9)*$B$11,2000000-C27)</f>
        <v>40000</v>
      </c>
      <c r="D28" s="109">
        <f>IF((IF($B$9&gt;=2,2,$B$9)*$B$11+C27)&gt;2000000,IF(IF($B$9&gt;=2,2,$B$9)*$B$11+C27+D27&lt;4000000,(IF($B$9&gt;=2,2,$B$9)*$B$11-C28),2000000-D27),0)</f>
        <v>0</v>
      </c>
      <c r="E28" s="109">
        <f>IF(IF($B$9&gt;=2,2,$B$9)*$B$11+C27+D27&gt;4000000,IF(IF($B$9&gt;=2,2,$B$9)*$B$11+C27+D27+E27&lt;6000000,IF($B$9&gt;=2,2,$B$9)*$B$11-D28-C28,2000000-E27),0)</f>
        <v>0</v>
      </c>
      <c r="F28" s="103"/>
      <c r="G28" s="110"/>
      <c r="H28" s="14"/>
      <c r="I28" s="14"/>
      <c r="J28" s="14"/>
      <c r="K28" s="14"/>
      <c r="L28" s="14"/>
      <c r="M28" s="14"/>
      <c r="N28" s="14"/>
    </row>
    <row r="29" spans="1:14" s="15" customFormat="1" ht="18.75">
      <c r="A29" s="97" t="s">
        <v>139</v>
      </c>
      <c r="B29" s="107">
        <f>IF($B$9&gt;=4,2,IF($B$9-2&lt;0,0,$B$9-2))</f>
        <v>2</v>
      </c>
      <c r="C29" s="108">
        <f>IF((IF($B$9&gt;=4,2,IF($B$9-2&lt;0,0,$B$9-2))*$B$11+C28+C27)&lt;2000000,IF($B$9&gt;=4,2,IF($B$9-2&lt;0,0,$B$9-2))*$B$11,2000000-C28-C27)</f>
        <v>40000</v>
      </c>
      <c r="D29" s="109">
        <f>IF((IF($B$9&gt;=4,2,IF($B$9-2&lt;0,0,$B$9-2))*$B$11+C28+C27)&gt;2000000,IF((IF($B$9&gt;=4,2,IF($B$9-2&lt;0,0,$B$9-2))*$B$11+C28+D28+C27+D27)&lt;4000000,(IF($B$9&gt;=4,2,IF($B$9-2&lt;0,0,$B$9-2))*$B$11-C29),2000000-D28-D27),0)</f>
        <v>0</v>
      </c>
      <c r="E29" s="109">
        <f>IF((IF($B$9&gt;=4,2,IF($B$9-2&lt;0,0,$B$9-2))*$B$11+SUM(C27:D28))&gt;4000000,IF((IF($B$9&gt;=4,2,IF($B$9-2&lt;0,0,$B$9-2))*$B$11+SUM(C27:E28))&lt;6000000,IF($B$9&gt;=4,2,IF($B$9-2&lt;0,0,$B$9-2))*$B$11-D29-C29,2000000-E28-E27),0)</f>
        <v>0</v>
      </c>
      <c r="F29" s="103"/>
      <c r="G29" s="110"/>
      <c r="H29" s="14"/>
      <c r="I29" s="14"/>
      <c r="J29" s="14"/>
      <c r="K29" s="14"/>
      <c r="L29" s="14"/>
      <c r="M29" s="14"/>
      <c r="N29" s="14"/>
    </row>
    <row r="30" spans="1:14" s="15" customFormat="1" ht="18.75">
      <c r="A30" s="97" t="s">
        <v>140</v>
      </c>
      <c r="B30" s="107">
        <f>IF($B$9&gt;=6,2,IF($B$9-4&lt;0,0,$B$9-4))</f>
        <v>0</v>
      </c>
      <c r="C30" s="108">
        <f>IF((IF($B$9&gt;=6,2,IF($B$9-4&lt;0,0,$B$9-4))*$B$11+SUM(C27:C29))&lt;2000000,IF($B$9&gt;=6,2,IF($B$9-4&lt;0,0,$B$9-4))*$B$11,2000000-SUM(C27:C29))</f>
        <v>0</v>
      </c>
      <c r="D30" s="109">
        <f>IF((IF($B$9&gt;=6,2,IF($B$9-4&lt;0,0,$B$9-4))*$B$11+SUM(C27:C29))&gt;2000000,IF((IF($B$9&gt;=6,2,IF($B$9-4&lt;0,0,$B$9-4))*$B$11+SUM(C27:D29))&lt;4000000,(IF($B$9&gt;=6,2,IF($B$9-4&lt;0,0,$B$9-4))*$B$11-C30),2000000-SUM(D27:D29)),0)</f>
        <v>0</v>
      </c>
      <c r="E30" s="109">
        <f>IF((IF($B$9&gt;=6,2,IF($B$9-4&lt;0,0,$B$9-4))*$B$11+SUM(C27:D29))&gt;4000000,IF((IF($B$9&gt;=6,2,IF($B$9-4&lt;0,0,$B$9-4))*$B$11+SUM(C27:E29))&lt;6000000,IF($B$9&gt;=6,2,IF($B$9-4&lt;0,0,$B$9-4))*$B$11-D30-C30,2000000-SUM(E27:E29)),0)</f>
        <v>0</v>
      </c>
      <c r="F30" s="103"/>
      <c r="G30" s="110"/>
      <c r="H30" s="14"/>
      <c r="I30" s="14"/>
      <c r="J30" s="14"/>
      <c r="K30" s="14"/>
      <c r="L30" s="14"/>
      <c r="M30" s="14"/>
      <c r="N30" s="14"/>
    </row>
    <row r="31" spans="1:14" s="15" customFormat="1" ht="18.75">
      <c r="A31" s="111" t="s">
        <v>54</v>
      </c>
      <c r="B31" s="112"/>
      <c r="C31" s="113"/>
      <c r="D31" s="114"/>
      <c r="E31" s="114"/>
      <c r="F31" s="115"/>
      <c r="G31" s="116">
        <f>SUMPRODUCT(C23:E25,C28:E30)*B7</f>
        <v>21000</v>
      </c>
      <c r="H31" s="14"/>
      <c r="I31" s="14"/>
      <c r="J31" s="14"/>
      <c r="K31" s="14"/>
      <c r="L31" s="14"/>
      <c r="M31" s="14"/>
      <c r="N31" s="14"/>
    </row>
    <row r="32" spans="1:14" s="15" customFormat="1" ht="18.75">
      <c r="A32" s="111" t="s">
        <v>55</v>
      </c>
      <c r="B32" s="112"/>
      <c r="C32" s="113"/>
      <c r="D32" s="114"/>
      <c r="E32" s="114"/>
      <c r="F32" s="115"/>
      <c r="G32" s="117">
        <f>IF(B12=TRUE,0.2*G31,0)</f>
        <v>0</v>
      </c>
      <c r="H32" s="14"/>
      <c r="I32" s="14"/>
      <c r="J32" s="14"/>
      <c r="K32" s="14"/>
      <c r="L32" s="14"/>
      <c r="M32" s="14"/>
      <c r="N32" s="14"/>
    </row>
    <row r="33" spans="1:14" s="15" customFormat="1" ht="18.75">
      <c r="A33" s="118" t="s">
        <v>56</v>
      </c>
      <c r="B33" s="119"/>
      <c r="C33" s="120"/>
      <c r="D33" s="114"/>
      <c r="E33" s="114"/>
      <c r="F33" s="121" t="s">
        <v>57</v>
      </c>
      <c r="G33" s="122">
        <f>G32+G31</f>
        <v>21000</v>
      </c>
      <c r="H33" s="14"/>
      <c r="I33" s="14"/>
      <c r="J33" s="14"/>
      <c r="K33" s="14"/>
      <c r="L33" s="14"/>
      <c r="M33" s="14"/>
      <c r="N33" s="14"/>
    </row>
    <row r="34" spans="1:14" s="15" customFormat="1" ht="18.75">
      <c r="A34" s="97" t="s">
        <v>69</v>
      </c>
      <c r="B34" s="98"/>
      <c r="C34" s="99" t="s">
        <v>49</v>
      </c>
      <c r="D34" s="100"/>
      <c r="E34" s="100"/>
      <c r="F34" s="100"/>
      <c r="G34" s="123" t="s">
        <v>70</v>
      </c>
      <c r="H34" s="14"/>
      <c r="I34" s="14"/>
      <c r="J34" s="14"/>
      <c r="K34" s="14"/>
      <c r="L34" s="14"/>
      <c r="M34" s="14"/>
      <c r="N34" s="14"/>
    </row>
    <row r="35" spans="1:14" s="15" customFormat="1" ht="18.75">
      <c r="A35" s="111" t="s">
        <v>71</v>
      </c>
      <c r="B35" s="112"/>
      <c r="C35" s="114">
        <f>B16</f>
        <v>1000</v>
      </c>
      <c r="D35" s="115"/>
      <c r="E35" s="115"/>
      <c r="F35" s="121" t="s">
        <v>60</v>
      </c>
      <c r="G35" s="124">
        <f>-C35</f>
        <v>-1000</v>
      </c>
      <c r="H35" s="14"/>
      <c r="I35" s="14"/>
      <c r="J35" s="14"/>
      <c r="K35" s="14"/>
      <c r="L35" s="14"/>
      <c r="M35" s="14"/>
      <c r="N35" s="14"/>
    </row>
    <row r="36" spans="1:14" s="125" customFormat="1" ht="18.75">
      <c r="A36" s="111" t="s">
        <v>73</v>
      </c>
      <c r="B36" s="112"/>
      <c r="C36" s="114">
        <f>B17</f>
        <v>1000</v>
      </c>
      <c r="D36" s="115"/>
      <c r="E36" s="115"/>
      <c r="F36" s="121" t="s">
        <v>72</v>
      </c>
      <c r="G36" s="124">
        <f>-C36/2</f>
        <v>-500</v>
      </c>
    </row>
    <row r="37" spans="1:14" s="125" customFormat="1" ht="18.75">
      <c r="A37" s="111" t="s">
        <v>75</v>
      </c>
      <c r="B37" s="112"/>
      <c r="C37" s="114">
        <f>B18</f>
        <v>1000</v>
      </c>
      <c r="D37" s="115"/>
      <c r="E37" s="115"/>
      <c r="F37" s="115"/>
      <c r="G37" s="126"/>
    </row>
    <row r="38" spans="1:14" s="125" customFormat="1" ht="18.75">
      <c r="A38" s="111" t="s">
        <v>76</v>
      </c>
      <c r="B38" s="112"/>
      <c r="C38" s="114">
        <f>B14*B15</f>
        <v>17600</v>
      </c>
      <c r="D38" s="115"/>
      <c r="E38" s="115"/>
      <c r="F38" s="115"/>
      <c r="G38" s="126"/>
    </row>
    <row r="39" spans="1:14" s="125" customFormat="1" ht="18.75">
      <c r="A39" s="127" t="s">
        <v>77</v>
      </c>
      <c r="B39" s="128"/>
      <c r="C39" s="114"/>
      <c r="D39" s="115"/>
      <c r="E39" s="115"/>
      <c r="F39" s="121" t="s">
        <v>154</v>
      </c>
      <c r="G39" s="129">
        <f>IF($G$33+$G$35+$G$36&gt;0,$G$33+$G$35+$G$36,0)</f>
        <v>19500</v>
      </c>
    </row>
    <row r="40" spans="1:14" s="125" customFormat="1" ht="18.75">
      <c r="A40" s="111" t="s">
        <v>79</v>
      </c>
      <c r="B40" s="130" t="s">
        <v>155</v>
      </c>
      <c r="C40" s="114">
        <f>SUM(C35:C38)</f>
        <v>20600</v>
      </c>
      <c r="D40" s="115"/>
      <c r="E40" s="115"/>
      <c r="F40" s="115"/>
      <c r="G40" s="126"/>
    </row>
    <row r="41" spans="1:14" s="125" customFormat="1" ht="18.75">
      <c r="A41" s="97" t="s">
        <v>81</v>
      </c>
      <c r="B41" s="131"/>
      <c r="C41" s="99" t="s">
        <v>82</v>
      </c>
      <c r="D41" s="99" t="s">
        <v>84</v>
      </c>
      <c r="E41" s="99" t="s">
        <v>85</v>
      </c>
      <c r="F41" s="100"/>
      <c r="G41" s="123" t="s">
        <v>86</v>
      </c>
    </row>
    <row r="42" spans="1:14" s="125" customFormat="1" ht="18.75">
      <c r="A42" s="111" t="s">
        <v>144</v>
      </c>
      <c r="B42" s="130" t="s">
        <v>80</v>
      </c>
      <c r="C42" s="114">
        <f>G39</f>
        <v>19500</v>
      </c>
      <c r="D42" s="115"/>
      <c r="E42" s="132">
        <v>5000000</v>
      </c>
      <c r="F42" s="133" t="s">
        <v>88</v>
      </c>
      <c r="G42" s="124">
        <f>IF(E42&gt;C42,0,E42-C42)</f>
        <v>0</v>
      </c>
    </row>
    <row r="43" spans="1:14" s="15" customFormat="1" ht="18.75">
      <c r="A43" s="111" t="s">
        <v>90</v>
      </c>
      <c r="B43" s="130" t="s">
        <v>156</v>
      </c>
      <c r="C43" s="114">
        <f>G42+C42</f>
        <v>19500</v>
      </c>
      <c r="D43" s="114">
        <f>$C$40</f>
        <v>20600</v>
      </c>
      <c r="E43" s="134">
        <f>B14</f>
        <v>80000</v>
      </c>
      <c r="F43" s="121" t="s">
        <v>107</v>
      </c>
      <c r="G43" s="124">
        <f>IF(E43&gt;(C43+D43),0,E43-(C43+D43))</f>
        <v>0</v>
      </c>
    </row>
    <row r="44" spans="1:14" s="15" customFormat="1" ht="18.75">
      <c r="A44" s="111"/>
      <c r="B44" s="130"/>
      <c r="C44" s="115"/>
      <c r="D44" s="115"/>
      <c r="E44" s="115"/>
      <c r="F44" s="115"/>
      <c r="G44" s="126"/>
    </row>
    <row r="45" spans="1:14" s="15" customFormat="1" ht="18.75">
      <c r="A45" s="111" t="s">
        <v>45</v>
      </c>
      <c r="B45" s="130"/>
      <c r="C45" s="115"/>
      <c r="D45" s="115"/>
      <c r="E45" s="115"/>
      <c r="F45" s="121" t="s">
        <v>92</v>
      </c>
      <c r="G45" s="124">
        <f>IF(G39+G42+G43&gt;0,G39+G42+G43,0)</f>
        <v>19500</v>
      </c>
    </row>
    <row r="46" spans="1:14" s="15" customFormat="1" ht="19.5" thickBot="1">
      <c r="A46" s="135" t="s">
        <v>96</v>
      </c>
      <c r="B46" s="136"/>
      <c r="C46" s="137"/>
      <c r="D46" s="137"/>
      <c r="E46" s="137"/>
      <c r="F46" s="137"/>
      <c r="G46" s="138">
        <f>G45</f>
        <v>19500</v>
      </c>
    </row>
    <row r="47" spans="1:14" ht="21">
      <c r="A47" s="59"/>
      <c r="B47" s="59"/>
      <c r="C47" s="59"/>
      <c r="D47" s="59"/>
      <c r="E47" s="59"/>
      <c r="F47" s="59"/>
      <c r="G47" s="59"/>
    </row>
    <row r="48" spans="1:14" s="15" customFormat="1" ht="18.75">
      <c r="A48" s="91" t="s">
        <v>97</v>
      </c>
      <c r="B48" s="36"/>
      <c r="C48" s="36"/>
      <c r="D48" s="36"/>
      <c r="E48" s="36"/>
      <c r="F48" s="36"/>
      <c r="G48" s="36"/>
    </row>
    <row r="49" spans="1:7" s="15" customFormat="1" ht="18.75">
      <c r="A49" s="36" t="s">
        <v>157</v>
      </c>
      <c r="B49" s="36"/>
      <c r="C49" s="36"/>
      <c r="D49" s="36"/>
      <c r="E49" s="36"/>
      <c r="F49" s="36"/>
      <c r="G49" s="36"/>
    </row>
    <row r="50" spans="1:7" s="15" customFormat="1" ht="18.75">
      <c r="A50" s="36" t="s">
        <v>160</v>
      </c>
      <c r="B50" s="36"/>
      <c r="C50" s="36"/>
      <c r="D50" s="36"/>
      <c r="E50" s="36"/>
      <c r="F50" s="36"/>
      <c r="G50" s="36"/>
    </row>
    <row r="51" spans="1:7" s="15" customFormat="1" ht="18.75">
      <c r="A51" s="141" t="s">
        <v>159</v>
      </c>
      <c r="B51" s="36"/>
      <c r="C51" s="36"/>
      <c r="D51" s="36"/>
      <c r="E51" s="36"/>
      <c r="F51" s="36"/>
      <c r="G51" s="36"/>
    </row>
  </sheetData>
  <sheetProtection selectLockedCells="1"/>
  <mergeCells count="14">
    <mergeCell ref="B18:C18"/>
    <mergeCell ref="B5:C5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</mergeCell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'Form FIlls'!$E$21:$E$22</xm:f>
          </x14:formula1>
          <xm:sqref>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2087-E1A8-4E47-8923-563E022A2710}">
  <dimension ref="A1:N51"/>
  <sheetViews>
    <sheetView showGridLines="0" zoomScale="80" zoomScaleNormal="80" zoomScalePageLayoutView="90" workbookViewId="0">
      <selection activeCell="B19" sqref="B19"/>
    </sheetView>
  </sheetViews>
  <sheetFormatPr defaultColWidth="11" defaultRowHeight="15.75"/>
  <cols>
    <col min="1" max="1" width="53.625" customWidth="1"/>
    <col min="2" max="2" width="8.625" customWidth="1"/>
    <col min="3" max="5" width="20.625" customWidth="1"/>
    <col min="6" max="6" width="5.125" customWidth="1"/>
    <col min="7" max="7" width="20" customWidth="1"/>
    <col min="8" max="9" width="23.5" customWidth="1"/>
    <col min="10" max="10" width="7" customWidth="1"/>
    <col min="11" max="11" width="18.625" customWidth="1"/>
  </cols>
  <sheetData>
    <row r="1" spans="1:14" ht="28.5">
      <c r="A1" s="148" t="s">
        <v>114</v>
      </c>
      <c r="B1" s="149"/>
      <c r="D1" s="149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100000000000001" customHeight="1">
      <c r="A2" s="143" t="s">
        <v>1</v>
      </c>
      <c r="B2" s="149"/>
      <c r="D2" s="149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3.25">
      <c r="A3" t="s">
        <v>161</v>
      </c>
      <c r="B3" s="1"/>
      <c r="C3" s="149"/>
      <c r="D3" s="149"/>
      <c r="E3" s="1"/>
      <c r="F3" s="1"/>
      <c r="G3" s="1"/>
      <c r="H3" s="7"/>
      <c r="I3" s="7"/>
      <c r="J3" s="7"/>
      <c r="K3" s="1"/>
      <c r="L3" s="1"/>
      <c r="M3" s="1"/>
      <c r="N3" s="1"/>
    </row>
    <row r="4" spans="1:14" ht="23.25">
      <c r="A4" s="199" t="s">
        <v>162</v>
      </c>
      <c r="B4" s="1"/>
      <c r="C4" s="149"/>
      <c r="D4" s="149"/>
      <c r="E4" s="1"/>
      <c r="F4" s="1"/>
      <c r="G4" s="1"/>
      <c r="H4" s="7"/>
      <c r="I4" s="7"/>
      <c r="J4" s="7"/>
      <c r="K4" s="1"/>
      <c r="L4" s="1"/>
      <c r="M4" s="1"/>
      <c r="N4" s="1"/>
    </row>
    <row r="5" spans="1:14" ht="24" thickBot="1">
      <c r="A5" s="150" t="s">
        <v>2</v>
      </c>
      <c r="B5" s="247"/>
      <c r="C5" s="247"/>
      <c r="D5" s="9" t="s">
        <v>4</v>
      </c>
      <c r="L5" s="1"/>
      <c r="M5" s="1"/>
      <c r="N5" s="1"/>
    </row>
    <row r="6" spans="1:14" ht="21">
      <c r="A6" s="151" t="s">
        <v>115</v>
      </c>
      <c r="B6" s="237" t="s">
        <v>149</v>
      </c>
      <c r="C6" s="237"/>
      <c r="D6" s="14" t="s">
        <v>116</v>
      </c>
      <c r="L6" s="1"/>
      <c r="M6" s="1"/>
      <c r="N6" s="1"/>
    </row>
    <row r="7" spans="1:14" ht="21">
      <c r="A7" s="152" t="s">
        <v>117</v>
      </c>
      <c r="B7" s="245">
        <v>1</v>
      </c>
      <c r="C7" s="245"/>
      <c r="D7" s="14" t="s">
        <v>118</v>
      </c>
      <c r="L7" s="1"/>
      <c r="M7" s="1"/>
      <c r="N7" s="1"/>
    </row>
    <row r="8" spans="1:14" ht="21">
      <c r="A8" s="152" t="s">
        <v>119</v>
      </c>
      <c r="B8" s="226">
        <v>1000</v>
      </c>
      <c r="C8" s="226"/>
      <c r="D8" s="14"/>
      <c r="L8" s="1"/>
      <c r="M8" s="1"/>
      <c r="N8" s="1"/>
    </row>
    <row r="9" spans="1:14" ht="21">
      <c r="A9" s="152" t="s">
        <v>120</v>
      </c>
      <c r="B9" s="226">
        <v>6</v>
      </c>
      <c r="C9" s="226"/>
      <c r="D9" s="14"/>
      <c r="L9" s="1"/>
      <c r="M9" s="1"/>
      <c r="N9" s="1"/>
    </row>
    <row r="10" spans="1:14" ht="21">
      <c r="A10" s="152" t="s">
        <v>121</v>
      </c>
      <c r="B10" s="226">
        <v>6000</v>
      </c>
      <c r="C10" s="226"/>
      <c r="D10" s="14"/>
      <c r="L10" s="1"/>
      <c r="M10" s="1"/>
      <c r="N10" s="1"/>
    </row>
    <row r="11" spans="1:14" ht="21">
      <c r="A11" s="152" t="s">
        <v>122</v>
      </c>
      <c r="B11" s="237">
        <f>B10*1000/B9</f>
        <v>1000000</v>
      </c>
      <c r="C11" s="237"/>
      <c r="D11" s="14"/>
      <c r="L11" s="1"/>
      <c r="M11" s="1"/>
      <c r="N11" s="1"/>
    </row>
    <row r="12" spans="1:14" ht="21">
      <c r="A12" s="152" t="s">
        <v>14</v>
      </c>
      <c r="B12" s="235" t="b">
        <v>0</v>
      </c>
      <c r="C12" s="235"/>
      <c r="D12" s="14" t="s">
        <v>150</v>
      </c>
      <c r="L12" s="1"/>
      <c r="M12" s="1"/>
      <c r="N12" s="1"/>
    </row>
    <row r="13" spans="1:14" ht="21">
      <c r="A13" s="152" t="s">
        <v>125</v>
      </c>
      <c r="B13" s="239"/>
      <c r="C13" s="239"/>
      <c r="D13" s="14" t="s">
        <v>126</v>
      </c>
      <c r="L13" s="1"/>
      <c r="M13" s="1"/>
      <c r="N13" s="1"/>
    </row>
    <row r="14" spans="1:14" ht="23.25">
      <c r="A14" s="152" t="s">
        <v>151</v>
      </c>
      <c r="B14" s="233">
        <v>6000000</v>
      </c>
      <c r="C14" s="233"/>
      <c r="D14" s="149"/>
      <c r="L14" s="1"/>
      <c r="M14" s="1"/>
      <c r="N14" s="1"/>
    </row>
    <row r="15" spans="1:14" ht="23.25">
      <c r="A15" s="89" t="s">
        <v>128</v>
      </c>
      <c r="B15" s="241">
        <v>0.22</v>
      </c>
      <c r="C15" s="241"/>
      <c r="D15" s="149"/>
      <c r="L15" s="1"/>
      <c r="M15" s="1"/>
      <c r="N15" s="1"/>
    </row>
    <row r="16" spans="1:14" ht="23.25">
      <c r="A16" s="152" t="s">
        <v>38</v>
      </c>
      <c r="B16" s="233">
        <v>1000</v>
      </c>
      <c r="C16" s="233"/>
      <c r="D16" s="149"/>
      <c r="L16" s="1"/>
      <c r="M16" s="1"/>
      <c r="N16" s="1"/>
    </row>
    <row r="17" spans="1:14" ht="23.25">
      <c r="A17" s="152" t="s">
        <v>39</v>
      </c>
      <c r="B17" s="233">
        <v>1000</v>
      </c>
      <c r="C17" s="233"/>
      <c r="D17" s="149"/>
      <c r="L17" s="1"/>
      <c r="M17" s="1"/>
      <c r="N17" s="1"/>
    </row>
    <row r="18" spans="1:14" ht="24" thickBot="1">
      <c r="A18" s="153" t="s">
        <v>40</v>
      </c>
      <c r="B18" s="246">
        <v>1000</v>
      </c>
      <c r="C18" s="246"/>
      <c r="D18" s="149"/>
      <c r="L18" s="1"/>
      <c r="M18" s="1"/>
      <c r="N18" s="1"/>
    </row>
    <row r="19" spans="1:14" ht="23.25">
      <c r="A19" s="149"/>
      <c r="B19" s="149"/>
      <c r="C19" s="149"/>
      <c r="D19" s="149"/>
      <c r="L19" s="1"/>
      <c r="M19" s="1"/>
      <c r="N19" s="1"/>
    </row>
    <row r="20" spans="1:14" ht="24" thickBot="1">
      <c r="A20" s="154" t="s">
        <v>43</v>
      </c>
      <c r="B20" s="1"/>
      <c r="C20" s="1"/>
      <c r="D20" s="1"/>
      <c r="L20" s="1"/>
      <c r="M20" s="1"/>
      <c r="N20" s="1"/>
    </row>
    <row r="21" spans="1:14" s="140" customFormat="1" ht="21.75" thickBot="1">
      <c r="A21" s="215" t="s">
        <v>44</v>
      </c>
      <c r="B21" s="216"/>
      <c r="C21" s="217" t="s">
        <v>133</v>
      </c>
      <c r="D21" s="218" t="str">
        <f>B6</f>
        <v>N/A</v>
      </c>
      <c r="E21" s="219" t="str">
        <f>"Incentive Rate: $"&amp;B7&amp;" per Watt-hour"</f>
        <v>Incentive Rate: $1 per Watt-hour</v>
      </c>
      <c r="F21" s="155"/>
      <c r="G21" s="156"/>
      <c r="H21" s="58"/>
      <c r="I21" s="58"/>
      <c r="J21" s="58"/>
      <c r="K21" s="58"/>
      <c r="L21" s="58"/>
      <c r="M21" s="58"/>
      <c r="N21" s="58"/>
    </row>
    <row r="22" spans="1:14" s="15" customFormat="1" ht="18.75">
      <c r="A22" s="157" t="s">
        <v>134</v>
      </c>
      <c r="B22" s="158"/>
      <c r="C22" s="159" t="s">
        <v>135</v>
      </c>
      <c r="D22" s="159" t="s">
        <v>136</v>
      </c>
      <c r="E22" s="159" t="s">
        <v>137</v>
      </c>
      <c r="F22" s="160"/>
      <c r="G22" s="161"/>
      <c r="H22" s="14"/>
      <c r="I22" s="14"/>
      <c r="J22" s="14"/>
      <c r="K22" s="14"/>
      <c r="L22" s="14"/>
      <c r="M22" s="14"/>
      <c r="N22" s="14"/>
    </row>
    <row r="23" spans="1:14" s="15" customFormat="1" ht="18.75">
      <c r="A23" s="162" t="s">
        <v>138</v>
      </c>
      <c r="B23" s="163"/>
      <c r="C23" s="164">
        <f>100%</f>
        <v>1</v>
      </c>
      <c r="D23" s="164">
        <v>0.5</v>
      </c>
      <c r="E23" s="164">
        <v>0.25</v>
      </c>
      <c r="F23" s="165"/>
      <c r="G23" s="166"/>
      <c r="H23" s="14"/>
      <c r="I23" s="14"/>
      <c r="J23" s="14"/>
      <c r="K23" s="14"/>
      <c r="L23" s="14"/>
      <c r="M23" s="14"/>
      <c r="N23" s="14"/>
    </row>
    <row r="24" spans="1:14" s="15" customFormat="1" ht="18.75">
      <c r="A24" s="162" t="s">
        <v>139</v>
      </c>
      <c r="B24" s="163"/>
      <c r="C24" s="164">
        <v>1</v>
      </c>
      <c r="D24" s="164">
        <f>C24*D23</f>
        <v>0.5</v>
      </c>
      <c r="E24" s="164">
        <f>C24*E23</f>
        <v>0.25</v>
      </c>
      <c r="F24" s="165"/>
      <c r="G24" s="166"/>
      <c r="H24" s="14"/>
      <c r="I24" s="14"/>
      <c r="J24" s="14"/>
      <c r="K24" s="14"/>
      <c r="L24" s="14"/>
      <c r="M24" s="14"/>
      <c r="N24" s="14"/>
    </row>
    <row r="25" spans="1:14" s="15" customFormat="1" ht="19.5" thickBot="1">
      <c r="A25" s="162" t="s">
        <v>140</v>
      </c>
      <c r="B25" s="163"/>
      <c r="C25" s="164">
        <v>0.5</v>
      </c>
      <c r="D25" s="164">
        <f>C25*D23</f>
        <v>0.25</v>
      </c>
      <c r="E25" s="167">
        <f>C25*E23</f>
        <v>0.125</v>
      </c>
      <c r="F25" s="165"/>
      <c r="G25" s="166"/>
      <c r="H25" s="14"/>
      <c r="I25" s="14"/>
      <c r="J25" s="14"/>
      <c r="K25" s="14"/>
      <c r="L25" s="14"/>
      <c r="M25" s="14"/>
      <c r="N25" s="14"/>
    </row>
    <row r="26" spans="1:14" s="15" customFormat="1" ht="18.75">
      <c r="A26" s="157"/>
      <c r="B26" s="158"/>
      <c r="C26" s="159" t="s">
        <v>135</v>
      </c>
      <c r="D26" s="159" t="s">
        <v>136</v>
      </c>
      <c r="E26" s="159" t="s">
        <v>137</v>
      </c>
      <c r="F26" s="160"/>
      <c r="G26" s="161"/>
      <c r="H26" s="14"/>
      <c r="I26" s="14"/>
      <c r="J26" s="14"/>
      <c r="K26" s="14"/>
      <c r="L26" s="14"/>
      <c r="M26" s="14"/>
      <c r="N26" s="14"/>
    </row>
    <row r="27" spans="1:14" s="15" customFormat="1" ht="18.75">
      <c r="A27" s="162" t="s">
        <v>141</v>
      </c>
      <c r="B27" s="163"/>
      <c r="C27" s="106">
        <f>IF($B$13&lt;2000000,$B$13,2000000)</f>
        <v>0</v>
      </c>
      <c r="D27" s="106">
        <f>IF($B$13&gt;2000000,IF($B$13&lt;4000000,$B$13-C27,2000000),0)</f>
        <v>0</v>
      </c>
      <c r="E27" s="106">
        <f>IF($B$13&gt;4000000,IF($B$13&lt;6000000,$B$13-C27-D27,2000000),0)</f>
        <v>0</v>
      </c>
      <c r="F27" s="168"/>
      <c r="G27" s="169"/>
      <c r="H27" s="14"/>
      <c r="I27" s="14"/>
      <c r="J27" s="14"/>
      <c r="K27" s="14"/>
      <c r="L27" s="14"/>
      <c r="M27" s="14"/>
      <c r="N27" s="14"/>
    </row>
    <row r="28" spans="1:14" s="15" customFormat="1" ht="18.75">
      <c r="A28" s="162" t="s">
        <v>138</v>
      </c>
      <c r="B28" s="170">
        <f>IF($B$9&gt;=2,2,$B$9)</f>
        <v>2</v>
      </c>
      <c r="C28" s="108">
        <f>IF((IF($B$9&gt;=2,2,$B$9)*$B$11+C27)&lt;2000000,IF($B$9&gt;=2,2,$B$9)*$B$11,2000000-C27)</f>
        <v>2000000</v>
      </c>
      <c r="D28" s="109">
        <f>IF((IF($B$9&gt;=2,2,$B$9)*$B$11+C27)&gt;2000000,IF(IF($B$9&gt;=2,2,$B$9)*$B$11+C27+D27&lt;4000000,(IF($B$9&gt;=2,2,$B$9)*$B$11-C28),2000000-D27),0)</f>
        <v>0</v>
      </c>
      <c r="E28" s="109">
        <f>IF(IF($B$9&gt;=2,2,$B$9)*$B$11+C27+D27&gt;4000000,IF(IF($B$9&gt;=2,2,$B$9)*$B$11+C27+D27+E27&lt;6000000,IF($B$9&gt;=2,2,$B$9)*$B$11-D28-C28,2000000-E27),0)</f>
        <v>0</v>
      </c>
      <c r="F28" s="165"/>
      <c r="G28" s="171"/>
      <c r="H28" s="14"/>
      <c r="I28" s="14"/>
      <c r="J28" s="14"/>
      <c r="K28" s="14"/>
      <c r="L28" s="14"/>
      <c r="M28" s="14"/>
      <c r="N28" s="14"/>
    </row>
    <row r="29" spans="1:14" s="15" customFormat="1" ht="18.75">
      <c r="A29" s="162" t="s">
        <v>139</v>
      </c>
      <c r="B29" s="170">
        <f>IF($B$9&gt;=4,2,IF($B$9-2&lt;0,0,$B$9-2))</f>
        <v>2</v>
      </c>
      <c r="C29" s="108">
        <f>IF((IF($B$9&gt;=4,2,IF($B$9-2&lt;0,0,$B$9-2))*$B$11+C28+C27)&lt;2000000,IF($B$9&gt;=4,2,IF($B$9-2&lt;0,0,$B$9-2))*$B$11,2000000-C28-C27)</f>
        <v>0</v>
      </c>
      <c r="D29" s="109">
        <f>IF((IF($B$9&gt;=4,2,IF($B$9-2&lt;0,0,$B$9-2))*$B$11+C28+C27)&gt;2000000,IF((IF($B$9&gt;=4,2,IF($B$9-2&lt;0,0,$B$9-2))*$B$11+C28+D28+C27+D27)&lt;4000000,(IF($B$9&gt;=4,2,IF($B$9-2&lt;0,0,$B$9-2))*$B$11-C29),2000000-D28-D27),0)</f>
        <v>2000000</v>
      </c>
      <c r="E29" s="109">
        <f>IF((IF($B$9&gt;=4,2,IF($B$9-2&lt;0,0,$B$9-2))*$B$11+SUM(C27:D28))&gt;4000000,IF((IF($B$9&gt;=4,2,IF($B$9-2&lt;0,0,$B$9-2))*$B$11+SUM(C27:E28))&lt;6000000,IF($B$9&gt;=4,2,IF($B$9-2&lt;0,0,$B$9-2))*$B$11-D29-C29,2000000-E28-E27),0)</f>
        <v>0</v>
      </c>
      <c r="F29" s="165"/>
      <c r="G29" s="171"/>
      <c r="H29" s="14"/>
      <c r="I29" s="14"/>
      <c r="J29" s="14"/>
      <c r="K29" s="14"/>
      <c r="L29" s="14"/>
      <c r="M29" s="14"/>
      <c r="N29" s="14"/>
    </row>
    <row r="30" spans="1:14" s="15" customFormat="1" ht="18.75">
      <c r="A30" s="162" t="s">
        <v>140</v>
      </c>
      <c r="B30" s="170">
        <f>IF($B$9&gt;=6,2,IF($B$9-4&lt;0,0,$B$9-4))</f>
        <v>2</v>
      </c>
      <c r="C30" s="108">
        <f>IF((IF($B$9&gt;=6,2,IF($B$9-4&lt;0,0,$B$9-4))*$B$11+SUM(C27:C29))&lt;2000000,IF($B$9&gt;=6,2,IF($B$9-4&lt;0,0,$B$9-4))*$B$11,2000000-SUM(C27:C29))</f>
        <v>0</v>
      </c>
      <c r="D30" s="109">
        <f>IF((IF($B$9&gt;=6,2,IF($B$9-4&lt;0,0,$B$9-4))*$B$11+SUM(C27:C29))&gt;2000000,IF((IF($B$9&gt;=6,2,IF($B$9-4&lt;0,0,$B$9-4))*$B$11+SUM(C27:D29))&lt;4000000,(IF($B$9&gt;=6,2,IF($B$9-4&lt;0,0,$B$9-4))*$B$11-C30),2000000-SUM(D27:D29)),0)</f>
        <v>0</v>
      </c>
      <c r="E30" s="109">
        <f>IF((IF($B$9&gt;=6,2,IF($B$9-4&lt;0,0,$B$9-4))*$B$11+SUM(C27:D29))&gt;4000000,IF((IF($B$9&gt;=6,2,IF($B$9-4&lt;0,0,$B$9-4))*$B$11+SUM(C27:E29))&lt;6000000,IF($B$9&gt;=6,2,IF($B$9-4&lt;0,0,$B$9-4))*$B$11-D30-C30,2000000-SUM(E27:E29)),0)</f>
        <v>2000000</v>
      </c>
      <c r="F30" s="165"/>
      <c r="G30" s="171"/>
      <c r="H30" s="14"/>
      <c r="I30" s="14"/>
      <c r="J30" s="14"/>
      <c r="K30" s="14"/>
      <c r="L30" s="14"/>
      <c r="M30" s="14"/>
      <c r="N30" s="14"/>
    </row>
    <row r="31" spans="1:14" s="15" customFormat="1" ht="18.75">
      <c r="A31" s="172" t="s">
        <v>54</v>
      </c>
      <c r="B31" s="173"/>
      <c r="C31" s="174"/>
      <c r="D31" s="175"/>
      <c r="E31" s="175"/>
      <c r="F31" s="174"/>
      <c r="G31" s="176">
        <f>SUMPRODUCT(C23:E25,C28:E30)*B7</f>
        <v>3250000</v>
      </c>
      <c r="H31" s="14"/>
      <c r="I31" s="14"/>
      <c r="J31" s="14"/>
      <c r="K31" s="14"/>
      <c r="L31" s="14"/>
      <c r="M31" s="14"/>
      <c r="N31" s="14"/>
    </row>
    <row r="32" spans="1:14" s="15" customFormat="1" ht="18.75">
      <c r="A32" s="172" t="s">
        <v>55</v>
      </c>
      <c r="B32" s="173"/>
      <c r="C32" s="174"/>
      <c r="D32" s="175"/>
      <c r="E32" s="175"/>
      <c r="F32" s="174"/>
      <c r="G32" s="177">
        <f>IF(B12=TRUE,0.2*G31,0)</f>
        <v>0</v>
      </c>
      <c r="H32" s="14"/>
      <c r="I32" s="14"/>
      <c r="J32" s="14"/>
      <c r="K32" s="14"/>
      <c r="L32" s="14"/>
      <c r="M32" s="14"/>
      <c r="N32" s="14"/>
    </row>
    <row r="33" spans="1:14" s="15" customFormat="1" ht="18.75">
      <c r="A33" s="178" t="s">
        <v>56</v>
      </c>
      <c r="B33" s="179"/>
      <c r="C33" s="180"/>
      <c r="D33" s="175"/>
      <c r="E33" s="175"/>
      <c r="F33" s="181" t="s">
        <v>57</v>
      </c>
      <c r="G33" s="122">
        <f>G32+G31</f>
        <v>3250000</v>
      </c>
      <c r="H33" s="14"/>
      <c r="I33" s="14"/>
      <c r="J33" s="14"/>
      <c r="K33" s="14"/>
      <c r="L33" s="14"/>
      <c r="M33" s="14"/>
      <c r="N33" s="14"/>
    </row>
    <row r="34" spans="1:14" s="15" customFormat="1" ht="18.75">
      <c r="A34" s="162" t="s">
        <v>69</v>
      </c>
      <c r="B34" s="163"/>
      <c r="C34" s="182" t="s">
        <v>49</v>
      </c>
      <c r="D34" s="168"/>
      <c r="E34" s="168"/>
      <c r="F34" s="168"/>
      <c r="G34" s="183" t="s">
        <v>70</v>
      </c>
      <c r="H34" s="14"/>
      <c r="I34" s="14"/>
      <c r="J34" s="14"/>
      <c r="K34" s="14"/>
      <c r="L34" s="14"/>
      <c r="M34" s="14"/>
      <c r="N34" s="14"/>
    </row>
    <row r="35" spans="1:14" s="15" customFormat="1" ht="18.75">
      <c r="A35" s="172" t="s">
        <v>38</v>
      </c>
      <c r="B35" s="173"/>
      <c r="C35" s="175">
        <f>B16</f>
        <v>1000</v>
      </c>
      <c r="D35" s="174"/>
      <c r="E35" s="174"/>
      <c r="F35" s="181" t="s">
        <v>60</v>
      </c>
      <c r="G35" s="184">
        <v>0</v>
      </c>
      <c r="H35" s="14"/>
      <c r="I35" s="14"/>
      <c r="J35" s="14"/>
      <c r="K35" s="14"/>
      <c r="L35" s="14"/>
      <c r="M35" s="14"/>
      <c r="N35" s="14"/>
    </row>
    <row r="36" spans="1:14" s="15" customFormat="1" ht="18.75">
      <c r="A36" s="172" t="s">
        <v>39</v>
      </c>
      <c r="B36" s="173"/>
      <c r="C36" s="175">
        <f>B17</f>
        <v>1000</v>
      </c>
      <c r="D36" s="174"/>
      <c r="E36" s="174"/>
      <c r="F36" s="181" t="s">
        <v>72</v>
      </c>
      <c r="G36" s="184">
        <v>0</v>
      </c>
    </row>
    <row r="37" spans="1:14" s="15" customFormat="1" ht="18.75">
      <c r="A37" s="172" t="s">
        <v>40</v>
      </c>
      <c r="B37" s="173"/>
      <c r="C37" s="175">
        <f>B18</f>
        <v>1000</v>
      </c>
      <c r="D37" s="174"/>
      <c r="E37" s="174"/>
      <c r="F37" s="174"/>
      <c r="G37" s="185"/>
    </row>
    <row r="38" spans="1:14" s="15" customFormat="1" ht="18.75">
      <c r="A38" s="172" t="s">
        <v>153</v>
      </c>
      <c r="B38" s="173"/>
      <c r="C38" s="114">
        <f>B14*B15</f>
        <v>1320000</v>
      </c>
      <c r="D38" s="174"/>
      <c r="E38" s="174"/>
      <c r="F38" s="174"/>
      <c r="G38" s="185"/>
    </row>
    <row r="39" spans="1:14" s="15" customFormat="1" ht="18.75">
      <c r="A39" s="186" t="s">
        <v>77</v>
      </c>
      <c r="B39" s="187"/>
      <c r="C39" s="114"/>
      <c r="D39" s="174"/>
      <c r="E39" s="174"/>
      <c r="F39" s="181" t="s">
        <v>154</v>
      </c>
      <c r="G39" s="188">
        <f>IF($G$33+$G$35+$G$36&gt;0,$G$33+$G$35+$G$36,0)</f>
        <v>3250000</v>
      </c>
    </row>
    <row r="40" spans="1:14" s="15" customFormat="1" ht="18.75">
      <c r="A40" s="172" t="s">
        <v>79</v>
      </c>
      <c r="B40" s="189" t="s">
        <v>155</v>
      </c>
      <c r="C40" s="114">
        <f>SUM(C35:C38)</f>
        <v>1323000</v>
      </c>
      <c r="D40" s="174"/>
      <c r="E40" s="174"/>
      <c r="F40" s="174"/>
      <c r="G40" s="185"/>
    </row>
    <row r="41" spans="1:14" s="15" customFormat="1" ht="18.75">
      <c r="A41" s="162" t="s">
        <v>81</v>
      </c>
      <c r="B41" s="190"/>
      <c r="C41" s="182" t="s">
        <v>82</v>
      </c>
      <c r="D41" s="182" t="s">
        <v>84</v>
      </c>
      <c r="E41" s="182" t="s">
        <v>85</v>
      </c>
      <c r="F41" s="168"/>
      <c r="G41" s="183" t="s">
        <v>86</v>
      </c>
    </row>
    <row r="42" spans="1:14" s="15" customFormat="1" ht="18.75">
      <c r="A42" s="172" t="s">
        <v>144</v>
      </c>
      <c r="B42" s="189" t="s">
        <v>80</v>
      </c>
      <c r="C42" s="175">
        <f>G39</f>
        <v>3250000</v>
      </c>
      <c r="D42" s="174"/>
      <c r="E42" s="191">
        <v>5000000</v>
      </c>
      <c r="F42" s="192" t="s">
        <v>88</v>
      </c>
      <c r="G42" s="184">
        <f>IF(E42&gt;C42,0,E42-C42)</f>
        <v>0</v>
      </c>
    </row>
    <row r="43" spans="1:14" s="15" customFormat="1" ht="18.75">
      <c r="A43" s="172" t="s">
        <v>90</v>
      </c>
      <c r="B43" s="189" t="s">
        <v>156</v>
      </c>
      <c r="C43" s="175">
        <f>G42+C42</f>
        <v>3250000</v>
      </c>
      <c r="D43" s="175">
        <f>$C$40</f>
        <v>1323000</v>
      </c>
      <c r="E43" s="193">
        <f>B14</f>
        <v>6000000</v>
      </c>
      <c r="F43" s="181" t="s">
        <v>107</v>
      </c>
      <c r="G43" s="184">
        <f>IF(E43&gt;(C43+D43),0,E43-(C43+D43))</f>
        <v>0</v>
      </c>
    </row>
    <row r="44" spans="1:14" s="15" customFormat="1" ht="18.75">
      <c r="A44" s="172"/>
      <c r="B44" s="189"/>
      <c r="C44" s="174"/>
      <c r="D44" s="174"/>
      <c r="E44" s="174"/>
      <c r="F44" s="174"/>
      <c r="G44" s="185"/>
    </row>
    <row r="45" spans="1:14" s="15" customFormat="1" ht="18.75">
      <c r="A45" s="172" t="s">
        <v>45</v>
      </c>
      <c r="B45" s="189"/>
      <c r="C45" s="174"/>
      <c r="D45" s="174"/>
      <c r="E45" s="174"/>
      <c r="F45" s="181" t="s">
        <v>92</v>
      </c>
      <c r="G45" s="184">
        <f>IF(G39+G42+G43&gt;0,G39+G42+G43,0)</f>
        <v>3250000</v>
      </c>
    </row>
    <row r="46" spans="1:14" s="15" customFormat="1" ht="19.5" thickBot="1">
      <c r="A46" s="194" t="s">
        <v>96</v>
      </c>
      <c r="B46" s="195"/>
      <c r="C46" s="196"/>
      <c r="D46" s="196"/>
      <c r="E46" s="196"/>
      <c r="F46" s="196"/>
      <c r="G46" s="197">
        <f>G45</f>
        <v>3250000</v>
      </c>
    </row>
    <row r="47" spans="1:14" ht="21">
      <c r="A47" s="58"/>
      <c r="B47" s="58"/>
      <c r="C47" s="58"/>
      <c r="D47" s="58"/>
      <c r="E47" s="58"/>
      <c r="F47" s="58"/>
      <c r="G47" s="58"/>
    </row>
    <row r="48" spans="1:14" s="15" customFormat="1" ht="18.75">
      <c r="A48" s="14" t="s">
        <v>97</v>
      </c>
      <c r="B48" s="14"/>
      <c r="C48" s="14"/>
      <c r="D48" s="14"/>
      <c r="E48" s="14"/>
      <c r="F48" s="14"/>
      <c r="G48" s="14"/>
    </row>
    <row r="49" spans="1:7" s="15" customFormat="1" ht="18.75">
      <c r="A49" s="14" t="s">
        <v>157</v>
      </c>
      <c r="B49" s="14"/>
      <c r="C49" s="14"/>
      <c r="D49" s="14"/>
      <c r="E49" s="14"/>
      <c r="F49" s="14"/>
      <c r="G49" s="14"/>
    </row>
    <row r="50" spans="1:7" s="15" customFormat="1" ht="18.75">
      <c r="A50" s="14" t="s">
        <v>158</v>
      </c>
      <c r="B50" s="14"/>
      <c r="C50" s="14"/>
      <c r="D50" s="14"/>
      <c r="E50" s="14"/>
      <c r="F50" s="14"/>
      <c r="G50" s="14"/>
    </row>
    <row r="51" spans="1:7" s="15" customFormat="1" ht="18.75">
      <c r="A51" s="198" t="s">
        <v>159</v>
      </c>
      <c r="B51" s="14"/>
      <c r="C51" s="14"/>
      <c r="D51" s="14"/>
      <c r="E51" s="14"/>
      <c r="F51" s="14"/>
      <c r="G51" s="14"/>
    </row>
  </sheetData>
  <sheetProtection selectLockedCells="1"/>
  <mergeCells count="14">
    <mergeCell ref="B10:C10"/>
    <mergeCell ref="B5:C5"/>
    <mergeCell ref="B6:C6"/>
    <mergeCell ref="B7:C7"/>
    <mergeCell ref="B8:C8"/>
    <mergeCell ref="B9:C9"/>
    <mergeCell ref="B17:C17"/>
    <mergeCell ref="B18:C18"/>
    <mergeCell ref="B11:C11"/>
    <mergeCell ref="B12:C12"/>
    <mergeCell ref="B13:C13"/>
    <mergeCell ref="B14:C14"/>
    <mergeCell ref="B15:C15"/>
    <mergeCell ref="B16:C16"/>
  </mergeCell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53CDF1-41F6-4D8F-BBA5-464E494E9FEA}">
          <x14:formula1>
            <xm:f>'Form FIlls'!$E$21:$E$22</xm:f>
          </x14:formula1>
          <xm:sqref>B12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2A06-0AEC-4509-BB5A-D55BBE594647}">
  <dimension ref="A1:J71"/>
  <sheetViews>
    <sheetView showGridLines="0" topLeftCell="A25" zoomScaleNormal="100" zoomScalePageLayoutView="90" workbookViewId="0">
      <selection activeCell="D46" sqref="D46"/>
    </sheetView>
  </sheetViews>
  <sheetFormatPr defaultColWidth="11" defaultRowHeight="18.75"/>
  <cols>
    <col min="1" max="1" width="49" customWidth="1"/>
    <col min="2" max="2" width="26.5" customWidth="1"/>
    <col min="3" max="3" width="19.375" style="15" customWidth="1"/>
    <col min="4" max="5" width="18.125" customWidth="1"/>
    <col min="6" max="6" width="16.625" customWidth="1"/>
    <col min="7" max="7" width="5.375" customWidth="1"/>
    <col min="8" max="8" width="22.875" customWidth="1"/>
    <col min="9" max="9" width="15.625" bestFit="1" customWidth="1"/>
    <col min="10" max="10" width="16.375" bestFit="1" customWidth="1"/>
  </cols>
  <sheetData>
    <row r="1" spans="1:8" ht="28.5">
      <c r="A1" s="38" t="s">
        <v>0</v>
      </c>
    </row>
    <row r="2" spans="1:8" s="79" customFormat="1" ht="15.75">
      <c r="A2" s="142" t="s">
        <v>1</v>
      </c>
    </row>
    <row r="3" spans="1:8">
      <c r="A3" s="39" t="s">
        <v>184</v>
      </c>
    </row>
    <row r="4" spans="1:8">
      <c r="A4" s="40"/>
    </row>
    <row r="5" spans="1:8" ht="24" thickBot="1">
      <c r="A5" s="41" t="s">
        <v>2</v>
      </c>
      <c r="B5" s="147" t="s">
        <v>3</v>
      </c>
      <c r="C5" s="9" t="s">
        <v>4</v>
      </c>
      <c r="D5" s="79"/>
      <c r="E5" s="79"/>
    </row>
    <row r="6" spans="1:8" ht="21">
      <c r="A6" s="42" t="s">
        <v>5</v>
      </c>
      <c r="B6" s="16">
        <v>2020</v>
      </c>
      <c r="C6" s="47" t="s">
        <v>6</v>
      </c>
      <c r="D6" s="80"/>
      <c r="E6" s="80"/>
      <c r="F6" s="3"/>
      <c r="G6" s="3"/>
      <c r="H6" s="3"/>
    </row>
    <row r="7" spans="1:8" ht="21">
      <c r="A7" s="43" t="s">
        <v>7</v>
      </c>
      <c r="B7" s="17">
        <v>1</v>
      </c>
      <c r="C7" s="47" t="s">
        <v>8</v>
      </c>
      <c r="D7" s="80"/>
      <c r="E7" s="80"/>
      <c r="F7" s="3"/>
      <c r="G7" s="3"/>
      <c r="H7" s="3"/>
    </row>
    <row r="8" spans="1:8" ht="21">
      <c r="A8" s="43" t="s">
        <v>9</v>
      </c>
      <c r="B8" s="12" t="s">
        <v>10</v>
      </c>
      <c r="C8" s="47"/>
      <c r="D8" s="80"/>
      <c r="E8" s="80"/>
      <c r="F8" s="3"/>
      <c r="G8" s="3"/>
      <c r="H8" s="3"/>
    </row>
    <row r="9" spans="1:8" ht="21">
      <c r="A9" s="43" t="s">
        <v>11</v>
      </c>
      <c r="B9" s="11">
        <v>2</v>
      </c>
      <c r="C9" s="47" t="s">
        <v>12</v>
      </c>
      <c r="D9" s="80"/>
      <c r="E9" s="80"/>
      <c r="F9" s="3"/>
      <c r="G9" s="3"/>
      <c r="H9" s="3"/>
    </row>
    <row r="10" spans="1:8" ht="21">
      <c r="A10" s="43" t="s">
        <v>13</v>
      </c>
      <c r="B10" s="144">
        <v>2500</v>
      </c>
      <c r="C10" s="47"/>
      <c r="D10" s="80"/>
      <c r="E10" s="80"/>
      <c r="F10" s="3"/>
      <c r="G10" s="3"/>
      <c r="H10" s="3"/>
    </row>
    <row r="11" spans="1:8" ht="21">
      <c r="A11" s="43" t="s">
        <v>14</v>
      </c>
      <c r="B11" s="10" t="b">
        <v>1</v>
      </c>
      <c r="C11" s="47"/>
      <c r="D11" s="80"/>
      <c r="E11" s="80"/>
      <c r="F11" s="3"/>
      <c r="G11" s="3"/>
      <c r="H11" s="3"/>
    </row>
    <row r="12" spans="1:8" ht="21.75" thickBot="1">
      <c r="A12" s="43" t="s">
        <v>15</v>
      </c>
      <c r="B12" s="145"/>
      <c r="C12" s="47" t="s">
        <v>16</v>
      </c>
      <c r="D12" s="80"/>
      <c r="E12" s="80"/>
      <c r="F12" s="3"/>
      <c r="G12" s="3"/>
      <c r="H12" s="3"/>
    </row>
    <row r="13" spans="1:8" ht="21">
      <c r="A13" s="42" t="s">
        <v>17</v>
      </c>
      <c r="B13" s="18" t="s">
        <v>18</v>
      </c>
      <c r="C13" s="47"/>
      <c r="D13" s="80"/>
      <c r="E13" s="80"/>
      <c r="F13" s="3"/>
      <c r="G13" s="3"/>
      <c r="H13" s="3"/>
    </row>
    <row r="14" spans="1:8" ht="21">
      <c r="A14" s="43" t="s">
        <v>19</v>
      </c>
      <c r="B14" s="48">
        <f>IF(B8="Wind",0.25,0.8)</f>
        <v>0.25</v>
      </c>
      <c r="C14" s="47"/>
      <c r="D14" s="80"/>
      <c r="E14" s="80"/>
      <c r="F14" s="3"/>
      <c r="G14" s="3"/>
      <c r="H14" s="3"/>
    </row>
    <row r="15" spans="1:8" ht="21">
      <c r="A15" s="43" t="s">
        <v>20</v>
      </c>
      <c r="B15" s="144"/>
      <c r="C15" s="47" t="s">
        <v>21</v>
      </c>
      <c r="D15" s="80"/>
      <c r="E15" s="80"/>
      <c r="F15" s="3"/>
      <c r="G15" s="3"/>
      <c r="H15" s="3"/>
    </row>
    <row r="16" spans="1:8" ht="21.75" thickBot="1">
      <c r="A16" s="82" t="s">
        <v>22</v>
      </c>
      <c r="B16" s="83">
        <f>B15*1000/(B14*8760)</f>
        <v>0</v>
      </c>
      <c r="C16" s="47"/>
      <c r="D16" s="80"/>
      <c r="E16" s="80"/>
      <c r="F16" s="3"/>
      <c r="G16" s="3"/>
      <c r="H16" s="3"/>
    </row>
    <row r="17" spans="1:8" ht="21">
      <c r="A17" s="43" t="s">
        <v>23</v>
      </c>
      <c r="B17" s="49" t="b">
        <f>IF(B8="Wind",FALSE,IF(B8="Waste Heat to Power",FALSE,TRUE))</f>
        <v>0</v>
      </c>
      <c r="C17" s="47"/>
      <c r="D17" s="80"/>
      <c r="E17" s="80"/>
      <c r="F17" s="3"/>
      <c r="G17" s="3"/>
      <c r="H17" s="3"/>
    </row>
    <row r="18" spans="1:8" ht="21">
      <c r="A18" s="43" t="s">
        <v>24</v>
      </c>
      <c r="B18" s="221">
        <v>1</v>
      </c>
      <c r="C18" s="47" t="s">
        <v>25</v>
      </c>
      <c r="D18" s="80"/>
      <c r="E18" s="80"/>
      <c r="F18" s="3"/>
      <c r="G18" s="3"/>
      <c r="H18" s="3"/>
    </row>
    <row r="19" spans="1:8" ht="21">
      <c r="A19" s="43" t="s">
        <v>26</v>
      </c>
      <c r="B19" s="50">
        <f>1-B18</f>
        <v>0</v>
      </c>
      <c r="C19" s="47"/>
      <c r="D19" s="80"/>
      <c r="E19" s="80"/>
      <c r="F19" s="3"/>
      <c r="G19" s="3"/>
      <c r="H19" s="3"/>
    </row>
    <row r="20" spans="1:8" ht="21">
      <c r="A20" s="43" t="s">
        <v>27</v>
      </c>
      <c r="B20" s="51">
        <f>VLOOKUP("Biogas",'Form FIlls'!$A$2:$D$11,'Generation (2020)'!B7+1,FALSE)</f>
        <v>0.6</v>
      </c>
      <c r="C20" s="47"/>
      <c r="D20" s="80"/>
      <c r="E20" s="80"/>
      <c r="F20" s="3"/>
      <c r="G20" s="3"/>
      <c r="H20" s="3"/>
    </row>
    <row r="21" spans="1:8" ht="21">
      <c r="A21" s="43" t="s">
        <v>28</v>
      </c>
      <c r="B21" s="50">
        <f>VLOOKUP(B6,'Form FIlls'!$I$3:$J$6,2,FALSE)</f>
        <v>1</v>
      </c>
      <c r="C21" s="47"/>
      <c r="D21" s="80"/>
      <c r="E21" s="80"/>
      <c r="F21" s="3"/>
      <c r="G21" s="3"/>
      <c r="H21" s="3"/>
    </row>
    <row r="22" spans="1:8" ht="21">
      <c r="A22" s="43" t="s">
        <v>29</v>
      </c>
      <c r="B22" s="10" t="b">
        <v>1</v>
      </c>
      <c r="C22" s="47"/>
      <c r="D22" s="80"/>
      <c r="E22" s="80"/>
      <c r="F22" s="3"/>
      <c r="G22" s="3"/>
      <c r="H22" s="3"/>
    </row>
    <row r="23" spans="1:8" ht="21">
      <c r="A23" s="44" t="s">
        <v>30</v>
      </c>
      <c r="B23" s="11">
        <v>50</v>
      </c>
      <c r="C23" s="47"/>
      <c r="D23" s="80"/>
      <c r="E23" s="80"/>
      <c r="F23" s="3"/>
      <c r="G23" s="3"/>
      <c r="H23" s="3"/>
    </row>
    <row r="24" spans="1:8" ht="21">
      <c r="A24" s="44" t="s">
        <v>31</v>
      </c>
      <c r="B24" s="11">
        <v>50</v>
      </c>
      <c r="C24" s="47" t="s">
        <v>32</v>
      </c>
      <c r="D24" s="80"/>
      <c r="E24" s="80"/>
      <c r="F24" s="3"/>
      <c r="G24" s="3"/>
      <c r="H24" s="3"/>
    </row>
    <row r="25" spans="1:8" ht="21">
      <c r="A25" s="44" t="s">
        <v>33</v>
      </c>
      <c r="B25" s="145">
        <v>100</v>
      </c>
      <c r="C25" s="47"/>
      <c r="D25" s="80"/>
      <c r="E25" s="80"/>
      <c r="F25" s="3"/>
      <c r="G25" s="3"/>
      <c r="H25" s="3"/>
    </row>
    <row r="26" spans="1:8" ht="21">
      <c r="A26" s="44" t="s">
        <v>34</v>
      </c>
      <c r="B26" s="48">
        <f>B10*8760*B14*B25/1000000</f>
        <v>547.5</v>
      </c>
      <c r="C26" s="47"/>
      <c r="D26" s="80"/>
      <c r="E26" s="80"/>
      <c r="F26" s="3"/>
      <c r="G26" s="3"/>
      <c r="H26" s="3"/>
    </row>
    <row r="27" spans="1:8" ht="21">
      <c r="A27" s="43" t="s">
        <v>35</v>
      </c>
      <c r="B27" s="52">
        <f>(B24-B23)*B26*10*B18</f>
        <v>0</v>
      </c>
      <c r="C27" s="47" t="s">
        <v>36</v>
      </c>
      <c r="D27" s="80"/>
      <c r="E27" s="80"/>
      <c r="F27" s="3"/>
      <c r="G27" s="3"/>
      <c r="H27" s="3"/>
    </row>
    <row r="28" spans="1:8" ht="21.75" thickBot="1">
      <c r="A28" s="82" t="s">
        <v>37</v>
      </c>
      <c r="B28" s="146">
        <v>10000000</v>
      </c>
      <c r="C28" s="47"/>
      <c r="D28" s="80"/>
      <c r="E28" s="4"/>
      <c r="F28" s="3"/>
      <c r="G28" s="3"/>
      <c r="H28" s="3"/>
    </row>
    <row r="29" spans="1:8" ht="21">
      <c r="A29" s="42" t="s">
        <v>38</v>
      </c>
      <c r="B29" s="20">
        <v>10000</v>
      </c>
      <c r="C29" s="47"/>
      <c r="D29" s="81"/>
      <c r="E29" s="5"/>
      <c r="F29" s="3"/>
      <c r="G29" s="3"/>
      <c r="H29" s="3"/>
    </row>
    <row r="30" spans="1:8" ht="21">
      <c r="A30" s="43" t="s">
        <v>39</v>
      </c>
      <c r="B30" s="11">
        <v>10000</v>
      </c>
      <c r="C30" s="47"/>
      <c r="D30" s="81"/>
      <c r="E30" s="81"/>
      <c r="F30" s="3"/>
      <c r="G30" s="3"/>
      <c r="H30" s="3"/>
    </row>
    <row r="31" spans="1:8" ht="21">
      <c r="A31" s="43" t="s">
        <v>40</v>
      </c>
      <c r="B31" s="11">
        <v>10000</v>
      </c>
      <c r="C31" s="47"/>
      <c r="D31" s="80"/>
      <c r="E31" s="80"/>
      <c r="F31" s="3"/>
      <c r="G31" s="3"/>
      <c r="H31" s="3"/>
    </row>
    <row r="32" spans="1:8" ht="21.75" thickBot="1">
      <c r="A32" s="45" t="s">
        <v>41</v>
      </c>
      <c r="B32" s="19">
        <v>0</v>
      </c>
      <c r="C32" s="47"/>
      <c r="D32" s="80"/>
      <c r="E32" s="80"/>
      <c r="F32" s="3"/>
      <c r="G32" s="3"/>
      <c r="H32" s="3"/>
    </row>
    <row r="33" spans="1:10" ht="21.75" thickBot="1">
      <c r="A33" s="45" t="s">
        <v>42</v>
      </c>
      <c r="B33" s="19" t="b">
        <v>1</v>
      </c>
      <c r="C33" s="47"/>
      <c r="D33" s="80"/>
      <c r="E33" s="80"/>
      <c r="F33" s="3"/>
      <c r="G33" s="3"/>
      <c r="H33" s="3"/>
    </row>
    <row r="34" spans="1:10">
      <c r="A34" s="37"/>
      <c r="B34" s="8"/>
      <c r="C34" s="13"/>
      <c r="D34" s="7"/>
      <c r="E34" s="7"/>
      <c r="F34" s="7"/>
      <c r="G34" s="7"/>
      <c r="H34" s="7"/>
      <c r="I34" s="1"/>
      <c r="J34" s="1"/>
    </row>
    <row r="35" spans="1:10" ht="24" thickBot="1">
      <c r="A35" s="46" t="s">
        <v>43</v>
      </c>
      <c r="B35" s="7"/>
      <c r="C35" s="14"/>
      <c r="D35" s="1"/>
      <c r="E35" s="1"/>
      <c r="F35" s="1"/>
      <c r="G35" s="1"/>
      <c r="H35" s="1"/>
      <c r="I35" s="1"/>
      <c r="J35" s="1"/>
    </row>
    <row r="36" spans="1:10" ht="21.75" thickBot="1">
      <c r="A36" s="208" t="s">
        <v>44</v>
      </c>
      <c r="B36" s="21"/>
      <c r="C36" s="209" t="str">
        <f>"Current Step: "&amp;B7</f>
        <v>Current Step: 1</v>
      </c>
      <c r="D36" s="21"/>
      <c r="E36" s="21"/>
      <c r="F36" s="22" t="str">
        <f>"Incentive Rate: $"&amp;B9&amp;" per Watt"</f>
        <v>Incentive Rate: $2 per Watt</v>
      </c>
      <c r="G36" s="21"/>
      <c r="H36" s="23"/>
      <c r="I36" s="1"/>
      <c r="J36" s="1"/>
    </row>
    <row r="37" spans="1:10" s="15" customFormat="1">
      <c r="A37" s="60" t="s">
        <v>45</v>
      </c>
      <c r="B37" s="61"/>
      <c r="C37" s="24" t="s">
        <v>46</v>
      </c>
      <c r="D37" s="62" t="s">
        <v>47</v>
      </c>
      <c r="E37" s="62" t="s">
        <v>48</v>
      </c>
      <c r="F37" s="61"/>
      <c r="G37" s="61"/>
      <c r="H37" s="63" t="s">
        <v>49</v>
      </c>
      <c r="I37" s="14"/>
      <c r="J37" s="14"/>
    </row>
    <row r="38" spans="1:10" s="15" customFormat="1">
      <c r="A38" s="32" t="s">
        <v>50</v>
      </c>
      <c r="B38" s="26"/>
      <c r="C38" s="25">
        <f>$B$9</f>
        <v>2</v>
      </c>
      <c r="D38" s="25">
        <f>C38*0.75</f>
        <v>1.5</v>
      </c>
      <c r="E38" s="25">
        <f>C38*0.5</f>
        <v>1</v>
      </c>
      <c r="F38" s="26"/>
      <c r="G38" s="26"/>
      <c r="H38" s="64"/>
      <c r="I38" s="14"/>
      <c r="J38" s="14"/>
    </row>
    <row r="39" spans="1:10" s="15" customFormat="1">
      <c r="A39" s="32" t="s">
        <v>51</v>
      </c>
      <c r="B39" s="26"/>
      <c r="C39" s="26">
        <f>IF(($B$12*1000)&lt;1000000,($B$12*1000),1000000)</f>
        <v>0</v>
      </c>
      <c r="D39" s="26">
        <f>IF(($B$12*1000)&gt;1000000,IF(($B$12*1000)&lt;2000000,(($B12*1000)-1000000),1000000),0)</f>
        <v>0</v>
      </c>
      <c r="E39" s="26">
        <f>IF(($B$12*1000)&gt;2000000,IF(($B$12*1000)&lt;3000000,(($B$12*1000)-2000000),1000000),0)</f>
        <v>0</v>
      </c>
      <c r="F39" s="26"/>
      <c r="G39" s="26"/>
      <c r="H39" s="65">
        <f>SUM(C39:E39)</f>
        <v>0</v>
      </c>
      <c r="I39" s="14"/>
      <c r="J39" s="14"/>
    </row>
    <row r="40" spans="1:10" s="15" customFormat="1">
      <c r="A40" s="32" t="s">
        <v>52</v>
      </c>
      <c r="B40" s="26"/>
      <c r="C40" s="27">
        <f>IF(($B$10*1000+C39)&lt;1000000,($B$10*1000),1000000-C39)</f>
        <v>1000000</v>
      </c>
      <c r="D40" s="27">
        <f>IF(($B$10*1000+C39)&gt;1000000,IF(($B$10*1000+C39+D39)&lt;2000000,$B$10*1000-C40,1000000-D39),0)</f>
        <v>1000000</v>
      </c>
      <c r="E40" s="27">
        <f>IF(($B$10*1000+SUM(C39:E39))&gt;2000000,IF(($B$10*1000+SUM(C39:E39))&lt;3000000,(($B$10*1000+C39+D39)-2000000),1000000-E39),0)</f>
        <v>500000</v>
      </c>
      <c r="F40" s="26"/>
      <c r="G40" s="26"/>
      <c r="H40" s="65">
        <f>SUM(C40:E40)</f>
        <v>2500000</v>
      </c>
      <c r="I40" s="14"/>
      <c r="J40" s="14"/>
    </row>
    <row r="41" spans="1:10" s="15" customFormat="1">
      <c r="A41" s="32" t="s">
        <v>53</v>
      </c>
      <c r="B41" s="26"/>
      <c r="C41" s="27">
        <f>ROUND(IF(B13="yes",IF($B$16&lt;1000000,$B$16,1000000),C40),0)</f>
        <v>1000000</v>
      </c>
      <c r="D41" s="27">
        <f>IF(B13="yes",IF($B$16&gt;1000000,IF($B$16&lt;2000000,($B$16-1000000),1000000),0),D40)</f>
        <v>1000000</v>
      </c>
      <c r="E41" s="27">
        <f>IF(B13="yes",IF($B$16&gt;2000000,IF($B$16&lt;3000000,$B$16-2000000,1000000),0),E40)</f>
        <v>500000</v>
      </c>
      <c r="F41" s="26"/>
      <c r="G41" s="26"/>
      <c r="H41" s="65">
        <f>SUM(C41:E41)</f>
        <v>2500000</v>
      </c>
      <c r="I41" s="14"/>
      <c r="J41" s="14"/>
    </row>
    <row r="42" spans="1:10" s="15" customFormat="1">
      <c r="A42" s="32" t="s">
        <v>54</v>
      </c>
      <c r="B42" s="26"/>
      <c r="C42" s="25">
        <f>C41*C38</f>
        <v>2000000</v>
      </c>
      <c r="D42" s="25">
        <f>D41*D38</f>
        <v>1500000</v>
      </c>
      <c r="E42" s="25">
        <f>E41*E38</f>
        <v>500000</v>
      </c>
      <c r="F42" s="26"/>
      <c r="G42" s="26"/>
      <c r="H42" s="66">
        <f>SUM(C42:E42)</f>
        <v>4000000</v>
      </c>
      <c r="I42" s="14"/>
      <c r="J42" s="14"/>
    </row>
    <row r="43" spans="1:10" s="15" customFormat="1">
      <c r="A43" s="32" t="s">
        <v>55</v>
      </c>
      <c r="B43" s="26"/>
      <c r="C43" s="25">
        <f>IF($B$11=TRUE, 0.2*C42,0)</f>
        <v>400000</v>
      </c>
      <c r="D43" s="25">
        <f>IF($B$11=TRUE, 0.2*D42,0)</f>
        <v>300000</v>
      </c>
      <c r="E43" s="25">
        <f>IF($B$11=TRUE, 0.2*E42,0)</f>
        <v>100000</v>
      </c>
      <c r="F43" s="26"/>
      <c r="G43" s="26"/>
      <c r="H43" s="66">
        <f>SUM(C43:E43)</f>
        <v>800000</v>
      </c>
      <c r="I43" s="14"/>
      <c r="J43" s="14"/>
    </row>
    <row r="44" spans="1:10" s="15" customFormat="1">
      <c r="A44" s="67" t="s">
        <v>56</v>
      </c>
      <c r="B44" s="26"/>
      <c r="C44" s="25">
        <f>C43+C42</f>
        <v>2400000</v>
      </c>
      <c r="D44" s="25">
        <f>D43+D42</f>
        <v>1800000</v>
      </c>
      <c r="E44" s="25">
        <f>E43+E42</f>
        <v>600000</v>
      </c>
      <c r="F44" s="68"/>
      <c r="G44" s="68" t="s">
        <v>57</v>
      </c>
      <c r="H44" s="85">
        <f>C44+D44+E44</f>
        <v>4800000</v>
      </c>
      <c r="I44" s="14"/>
      <c r="J44" s="14"/>
    </row>
    <row r="45" spans="1:10" s="15" customFormat="1">
      <c r="A45" s="69" t="s">
        <v>58</v>
      </c>
      <c r="B45" s="28"/>
      <c r="C45" s="28"/>
      <c r="D45" s="28"/>
      <c r="E45" s="28"/>
      <c r="F45" s="28"/>
      <c r="G45" s="28"/>
      <c r="H45" s="70"/>
      <c r="I45" s="14"/>
      <c r="J45" s="14"/>
    </row>
    <row r="46" spans="1:10" s="15" customFormat="1">
      <c r="A46" s="32" t="s">
        <v>50</v>
      </c>
      <c r="B46" s="26"/>
      <c r="C46" s="25">
        <v>2.5</v>
      </c>
      <c r="D46" s="25">
        <f>C46*0.75</f>
        <v>1.875</v>
      </c>
      <c r="E46" s="25">
        <f>C46*0.5</f>
        <v>1.25</v>
      </c>
      <c r="F46" s="26"/>
      <c r="G46" s="26"/>
      <c r="H46" s="64"/>
      <c r="I46" s="14"/>
      <c r="J46" s="14"/>
    </row>
    <row r="47" spans="1:10" s="15" customFormat="1">
      <c r="A47" s="32" t="s">
        <v>53</v>
      </c>
      <c r="B47" s="26"/>
      <c r="C47" s="29">
        <f>IF($B$33=TRUE,C41,0)</f>
        <v>1000000</v>
      </c>
      <c r="D47" s="29">
        <f t="shared" ref="D47:E47" si="0">IF($B$33=TRUE,D41,0)</f>
        <v>1000000</v>
      </c>
      <c r="E47" s="29">
        <f t="shared" si="0"/>
        <v>500000</v>
      </c>
      <c r="F47" s="26"/>
      <c r="G47" s="26"/>
      <c r="H47" s="64"/>
      <c r="I47" s="14"/>
      <c r="J47" s="14"/>
    </row>
    <row r="48" spans="1:10" s="15" customFormat="1">
      <c r="A48" s="67" t="s">
        <v>59</v>
      </c>
      <c r="B48" s="26"/>
      <c r="C48" s="222">
        <f>C46*C47</f>
        <v>2500000</v>
      </c>
      <c r="D48" s="222">
        <f>D46*D47</f>
        <v>1875000</v>
      </c>
      <c r="E48" s="222">
        <f>E46*E47</f>
        <v>625000</v>
      </c>
      <c r="F48" s="68"/>
      <c r="G48" s="68" t="s">
        <v>60</v>
      </c>
      <c r="H48" s="223">
        <f>SUM(C48:E48)</f>
        <v>5000000</v>
      </c>
      <c r="I48" s="14"/>
      <c r="J48" s="14"/>
    </row>
    <row r="49" spans="1:10" s="15" customFormat="1">
      <c r="A49" s="69" t="s">
        <v>69</v>
      </c>
      <c r="B49" s="28"/>
      <c r="C49" s="31" t="s">
        <v>49</v>
      </c>
      <c r="D49" s="28"/>
      <c r="E49" s="28"/>
      <c r="F49" s="28"/>
      <c r="G49" s="28"/>
      <c r="H49" s="72" t="s">
        <v>70</v>
      </c>
      <c r="I49" s="14"/>
      <c r="J49" s="14"/>
    </row>
    <row r="50" spans="1:10" s="15" customFormat="1">
      <c r="A50" s="32" t="s">
        <v>71</v>
      </c>
      <c r="B50" s="26"/>
      <c r="C50" s="25">
        <f>B29</f>
        <v>10000</v>
      </c>
      <c r="D50" s="26"/>
      <c r="E50" s="26"/>
      <c r="F50" s="68"/>
      <c r="G50" s="68" t="s">
        <v>72</v>
      </c>
      <c r="H50" s="73">
        <f>-C50</f>
        <v>-10000</v>
      </c>
      <c r="I50" s="14"/>
      <c r="J50" s="14"/>
    </row>
    <row r="51" spans="1:10" s="15" customFormat="1">
      <c r="A51" s="32" t="s">
        <v>73</v>
      </c>
      <c r="B51" s="26"/>
      <c r="C51" s="25">
        <f>B30</f>
        <v>10000</v>
      </c>
      <c r="D51" s="26"/>
      <c r="E51" s="26"/>
      <c r="F51" s="68"/>
      <c r="G51" s="68" t="s">
        <v>74</v>
      </c>
      <c r="H51" s="73">
        <f>-C51/2</f>
        <v>-5000</v>
      </c>
      <c r="I51" s="14"/>
      <c r="J51" s="14"/>
    </row>
    <row r="52" spans="1:10" s="15" customFormat="1">
      <c r="A52" s="32" t="s">
        <v>75</v>
      </c>
      <c r="B52" s="26"/>
      <c r="C52" s="25">
        <f>B31</f>
        <v>10000</v>
      </c>
      <c r="D52" s="26"/>
      <c r="E52" s="26"/>
      <c r="F52" s="26"/>
      <c r="G52" s="26"/>
      <c r="H52" s="64"/>
      <c r="I52" s="14"/>
      <c r="J52" s="14"/>
    </row>
    <row r="53" spans="1:10" s="15" customFormat="1">
      <c r="A53" s="32" t="s">
        <v>76</v>
      </c>
      <c r="B53" s="26"/>
      <c r="C53" s="25">
        <f>B32*B28</f>
        <v>0</v>
      </c>
      <c r="D53" s="26"/>
      <c r="E53" s="26"/>
      <c r="F53" s="26"/>
      <c r="G53" s="26"/>
      <c r="H53" s="64"/>
      <c r="I53" s="14"/>
      <c r="J53" s="14"/>
    </row>
    <row r="54" spans="1:10" s="15" customFormat="1">
      <c r="A54" s="74" t="s">
        <v>77</v>
      </c>
      <c r="B54" s="26"/>
      <c r="C54" s="25"/>
      <c r="D54" s="26"/>
      <c r="E54" s="26"/>
      <c r="F54" s="68"/>
      <c r="G54" s="68" t="s">
        <v>78</v>
      </c>
      <c r="H54" s="75">
        <f>IF($H$44+$H$50+$H$51&gt;0,$H$44+$H$50+$H$51,0)</f>
        <v>4785000</v>
      </c>
      <c r="I54" s="14"/>
      <c r="J54" s="14"/>
    </row>
    <row r="55" spans="1:10" s="15" customFormat="1">
      <c r="A55" s="32" t="s">
        <v>79</v>
      </c>
      <c r="B55" s="68" t="s">
        <v>80</v>
      </c>
      <c r="C55" s="25">
        <f>SUM($C$50:$C$53)</f>
        <v>30000</v>
      </c>
      <c r="D55" s="26"/>
      <c r="E55" s="26"/>
      <c r="F55" s="26"/>
      <c r="G55" s="26"/>
      <c r="H55" s="64"/>
      <c r="I55" s="14"/>
      <c r="J55" s="14"/>
    </row>
    <row r="56" spans="1:10" s="15" customFormat="1">
      <c r="A56" s="69" t="s">
        <v>81</v>
      </c>
      <c r="B56" s="28"/>
      <c r="C56" s="31" t="s">
        <v>82</v>
      </c>
      <c r="D56" s="31" t="s">
        <v>83</v>
      </c>
      <c r="E56" s="31" t="s">
        <v>84</v>
      </c>
      <c r="F56" s="31" t="s">
        <v>85</v>
      </c>
      <c r="G56" s="28"/>
      <c r="H56" s="72" t="s">
        <v>86</v>
      </c>
      <c r="I56" s="14"/>
      <c r="J56" s="14"/>
    </row>
    <row r="57" spans="1:10" s="15" customFormat="1">
      <c r="A57" s="32" t="s">
        <v>87</v>
      </c>
      <c r="B57" s="68" t="s">
        <v>88</v>
      </c>
      <c r="C57" s="25">
        <f>H54</f>
        <v>4785000</v>
      </c>
      <c r="D57" s="25">
        <f>$H$48</f>
        <v>5000000</v>
      </c>
      <c r="E57" s="26"/>
      <c r="F57" s="76">
        <v>5000000</v>
      </c>
      <c r="G57" s="77" t="s">
        <v>89</v>
      </c>
      <c r="H57" s="66">
        <f>IF(F57&gt;(C57+D57),0,F57-(C57+D57))</f>
        <v>-4785000</v>
      </c>
      <c r="I57" s="14"/>
      <c r="J57" s="14"/>
    </row>
    <row r="58" spans="1:10" s="15" customFormat="1">
      <c r="A58" s="32" t="s">
        <v>90</v>
      </c>
      <c r="B58" s="68" t="s">
        <v>91</v>
      </c>
      <c r="C58" s="25">
        <f>H57+C57</f>
        <v>0</v>
      </c>
      <c r="D58" s="25">
        <f>$H$48</f>
        <v>5000000</v>
      </c>
      <c r="E58" s="25">
        <f>$C$55</f>
        <v>30000</v>
      </c>
      <c r="F58" s="78">
        <f>B28</f>
        <v>10000000</v>
      </c>
      <c r="G58" s="68" t="s">
        <v>92</v>
      </c>
      <c r="H58" s="73">
        <f>IF(F58&gt;(C58+D58+E58),0,F58-(C58+D58+E58))</f>
        <v>0</v>
      </c>
      <c r="I58" s="14"/>
      <c r="J58" s="14"/>
    </row>
    <row r="59" spans="1:10" s="15" customFormat="1">
      <c r="A59" s="32"/>
      <c r="B59" s="26"/>
      <c r="C59" s="26"/>
      <c r="D59" s="26"/>
      <c r="E59" s="26"/>
      <c r="F59" s="26"/>
      <c r="G59" s="26"/>
      <c r="H59" s="64"/>
      <c r="I59" s="14"/>
      <c r="J59" s="14"/>
    </row>
    <row r="60" spans="1:10" s="15" customFormat="1">
      <c r="A60" s="32" t="s">
        <v>45</v>
      </c>
      <c r="B60" s="26"/>
      <c r="C60" s="26"/>
      <c r="D60" s="26"/>
      <c r="E60" s="26"/>
      <c r="F60" s="26"/>
      <c r="G60" s="68" t="s">
        <v>93</v>
      </c>
      <c r="H60" s="66">
        <f>IF(H54+H57+H58&gt;0,H54+H57+H58,0)</f>
        <v>0</v>
      </c>
      <c r="I60" s="84"/>
      <c r="J60" s="14"/>
    </row>
    <row r="61" spans="1:10" s="15" customFormat="1">
      <c r="A61" s="32" t="s">
        <v>95</v>
      </c>
      <c r="B61" s="26"/>
      <c r="C61" s="26"/>
      <c r="D61" s="26"/>
      <c r="E61" s="26"/>
      <c r="F61" s="26"/>
      <c r="G61" s="26"/>
      <c r="H61" s="224">
        <f>MIN(H48, 5000000)</f>
        <v>5000000</v>
      </c>
      <c r="I61" s="220"/>
      <c r="J61" s="14"/>
    </row>
    <row r="62" spans="1:10" s="15" customFormat="1" ht="19.5" thickBot="1">
      <c r="A62" s="33" t="s">
        <v>96</v>
      </c>
      <c r="B62" s="34"/>
      <c r="C62" s="34"/>
      <c r="D62" s="34"/>
      <c r="E62" s="34"/>
      <c r="F62" s="34"/>
      <c r="G62" s="34"/>
      <c r="H62" s="86">
        <f>IF(H61+H60&gt;0,H61+H60,0)</f>
        <v>5000000</v>
      </c>
      <c r="I62" s="14"/>
      <c r="J62" s="14"/>
    </row>
    <row r="63" spans="1:10">
      <c r="A63" s="35"/>
      <c r="B63" s="35"/>
      <c r="C63" s="36"/>
      <c r="D63" s="35"/>
      <c r="E63" s="35"/>
      <c r="F63" s="35"/>
      <c r="G63" s="35"/>
      <c r="H63" s="35"/>
      <c r="I63" s="1"/>
      <c r="J63" s="1"/>
    </row>
    <row r="64" spans="1:10" s="15" customFormat="1">
      <c r="A64" s="91" t="s">
        <v>97</v>
      </c>
      <c r="B64" s="36"/>
      <c r="C64" s="36"/>
      <c r="D64" s="36"/>
      <c r="E64" s="36"/>
      <c r="F64" s="36"/>
      <c r="G64" s="36"/>
      <c r="H64" s="36"/>
      <c r="I64" s="14"/>
      <c r="J64" s="14"/>
    </row>
    <row r="65" spans="1:10" s="15" customFormat="1">
      <c r="A65" s="36" t="s">
        <v>98</v>
      </c>
      <c r="B65" s="36"/>
      <c r="C65" s="36"/>
      <c r="D65" s="36"/>
      <c r="E65" s="36"/>
      <c r="F65" s="36"/>
      <c r="G65" s="36"/>
      <c r="H65" s="36"/>
      <c r="I65" s="14"/>
      <c r="J65" s="14"/>
    </row>
    <row r="66" spans="1:10" s="15" customFormat="1">
      <c r="A66" s="36" t="s">
        <v>99</v>
      </c>
      <c r="B66" s="36"/>
      <c r="C66" s="36"/>
      <c r="D66" s="36"/>
      <c r="E66" s="36"/>
      <c r="F66" s="36"/>
      <c r="G66" s="36"/>
      <c r="H66" s="36"/>
      <c r="I66" s="14"/>
      <c r="J66" s="14"/>
    </row>
    <row r="67" spans="1:10" s="15" customFormat="1">
      <c r="A67" s="141" t="s">
        <v>100</v>
      </c>
      <c r="B67" s="36"/>
      <c r="C67" s="36"/>
      <c r="D67" s="36"/>
      <c r="E67" s="36"/>
      <c r="F67" s="36"/>
      <c r="G67" s="36"/>
      <c r="H67" s="36"/>
      <c r="I67" s="14"/>
      <c r="J67" s="14"/>
    </row>
    <row r="68" spans="1:10">
      <c r="A68" s="7"/>
      <c r="B68" s="7"/>
      <c r="C68" s="14"/>
      <c r="D68" s="1"/>
      <c r="E68" s="1"/>
      <c r="F68" s="1"/>
      <c r="G68" s="1"/>
      <c r="H68" s="1"/>
      <c r="I68" s="1"/>
      <c r="J68" s="1"/>
    </row>
    <row r="69" spans="1:10">
      <c r="A69" s="7"/>
      <c r="B69" s="7"/>
      <c r="C69" s="14"/>
      <c r="D69" s="1"/>
      <c r="E69" s="1"/>
      <c r="F69" s="1"/>
      <c r="G69" s="1"/>
      <c r="H69" s="1"/>
      <c r="I69" s="1"/>
      <c r="J69" s="1"/>
    </row>
    <row r="70" spans="1:10">
      <c r="A70" s="7"/>
      <c r="B70" s="7"/>
      <c r="C70" s="14"/>
      <c r="D70" s="1"/>
      <c r="E70" s="1"/>
      <c r="F70" s="1"/>
      <c r="G70" s="1"/>
      <c r="H70" s="1"/>
      <c r="I70" s="1"/>
      <c r="J70" s="1"/>
    </row>
    <row r="71" spans="1:10">
      <c r="A71" s="7"/>
      <c r="B71" s="7"/>
      <c r="C71" s="14"/>
      <c r="D71" s="1"/>
      <c r="E71" s="1"/>
      <c r="F71" s="1"/>
      <c r="G71" s="1"/>
      <c r="H71" s="1"/>
      <c r="I71" s="1"/>
      <c r="J71" s="1"/>
    </row>
  </sheetData>
  <sheetProtection selectLockedCells="1"/>
  <pageMargins left="0.75" right="0.75" top="1" bottom="1" header="0.5" footer="0.5"/>
  <pageSetup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3453E05-4257-4135-BAF3-2735C0FFC003}">
          <x14:formula1>
            <xm:f>'Form FIlls'!$E$21:$E$22</xm:f>
          </x14:formula1>
          <xm:sqref>B22 B11</xm:sqref>
        </x14:dataValidation>
        <x14:dataValidation type="list" allowBlank="1" showInputMessage="1" showErrorMessage="1" xr:uid="{7C5CBBC4-E00F-44F8-B2EA-1DD1FB33E103}">
          <x14:formula1>
            <xm:f>'Form FIlls'!$D$21:$D$22</xm:f>
          </x14:formula1>
          <xm:sqref>B13</xm:sqref>
        </x14:dataValidation>
        <x14:dataValidation type="list" allowBlank="1" showInputMessage="1" showErrorMessage="1" xr:uid="{9C73B33F-C3C6-4B7A-8536-DFB59C68BB9F}">
          <x14:formula1>
            <xm:f>'Form FIlls'!$B$21:$B$23</xm:f>
          </x14:formula1>
          <xm:sqref>B7</xm:sqref>
        </x14:dataValidation>
        <x14:dataValidation type="list" allowBlank="1" showInputMessage="1" showErrorMessage="1" xr:uid="{77946BB2-B7BA-43D6-92F5-2DE4811FA354}">
          <x14:formula1>
            <xm:f>'Form FIlls'!$A$21:$A$24</xm:f>
          </x14:formula1>
          <xm:sqref>B6</xm:sqref>
        </x14:dataValidation>
        <x14:dataValidation type="list" allowBlank="1" showInputMessage="1" showErrorMessage="1" xr:uid="{75D60F7D-B9C9-464A-89AF-767B5E47B2A6}">
          <x14:formula1>
            <xm:f>'Form FIlls'!$A$3:$A$10</xm:f>
          </x14:formula1>
          <xm:sqref>B8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showGridLines="0" topLeftCell="A25" zoomScaleNormal="100" zoomScalePageLayoutView="90" workbookViewId="0">
      <selection activeCell="H56" sqref="H56"/>
    </sheetView>
  </sheetViews>
  <sheetFormatPr defaultColWidth="11" defaultRowHeight="18.75"/>
  <cols>
    <col min="1" max="1" width="49" customWidth="1"/>
    <col min="2" max="2" width="26.5" customWidth="1"/>
    <col min="3" max="3" width="19.375" style="15" customWidth="1"/>
    <col min="4" max="5" width="18.125" customWidth="1"/>
    <col min="6" max="6" width="16.625" customWidth="1"/>
    <col min="7" max="7" width="5.375" customWidth="1"/>
    <col min="8" max="8" width="22.875" customWidth="1"/>
    <col min="9" max="9" width="13.125" bestFit="1" customWidth="1"/>
    <col min="10" max="10" width="16.375" bestFit="1" customWidth="1"/>
  </cols>
  <sheetData>
    <row r="1" spans="1:8" ht="28.5">
      <c r="A1" s="38" t="s">
        <v>0</v>
      </c>
    </row>
    <row r="2" spans="1:8" s="79" customFormat="1" ht="15.75">
      <c r="A2" s="142" t="s">
        <v>1</v>
      </c>
    </row>
    <row r="3" spans="1:8">
      <c r="A3" s="39" t="s">
        <v>101</v>
      </c>
    </row>
    <row r="4" spans="1:8">
      <c r="A4" s="40"/>
    </row>
    <row r="5" spans="1:8" ht="24" thickBot="1">
      <c r="A5" s="41" t="s">
        <v>2</v>
      </c>
      <c r="B5" s="147" t="s">
        <v>3</v>
      </c>
      <c r="C5" s="9" t="s">
        <v>4</v>
      </c>
      <c r="D5" s="79"/>
      <c r="E5" s="79"/>
    </row>
    <row r="6" spans="1:8" ht="21">
      <c r="A6" s="42" t="s">
        <v>5</v>
      </c>
      <c r="B6" s="16">
        <v>2020</v>
      </c>
      <c r="C6" s="47" t="s">
        <v>6</v>
      </c>
      <c r="D6" s="80"/>
      <c r="E6" s="80"/>
      <c r="F6" s="3"/>
      <c r="G6" s="3"/>
      <c r="H6" s="3"/>
    </row>
    <row r="7" spans="1:8" ht="21">
      <c r="A7" s="43" t="s">
        <v>7</v>
      </c>
      <c r="B7" s="17">
        <v>1</v>
      </c>
      <c r="C7" s="47" t="s">
        <v>8</v>
      </c>
      <c r="D7" s="80"/>
      <c r="E7" s="80"/>
      <c r="F7" s="3"/>
      <c r="G7" s="3"/>
      <c r="H7" s="3"/>
    </row>
    <row r="8" spans="1:8" ht="21">
      <c r="A8" s="43" t="s">
        <v>9</v>
      </c>
      <c r="B8" s="12" t="s">
        <v>102</v>
      </c>
      <c r="C8" s="47"/>
      <c r="D8" s="80"/>
      <c r="E8" s="80"/>
      <c r="F8" s="3"/>
      <c r="G8" s="3"/>
      <c r="H8" s="3"/>
    </row>
    <row r="9" spans="1:8" ht="21">
      <c r="A9" s="43" t="s">
        <v>11</v>
      </c>
      <c r="B9" s="11">
        <v>2</v>
      </c>
      <c r="C9" s="47" t="s">
        <v>12</v>
      </c>
      <c r="D9" s="80"/>
      <c r="E9" s="80"/>
      <c r="F9" s="3"/>
      <c r="G9" s="3"/>
      <c r="H9" s="3"/>
    </row>
    <row r="10" spans="1:8" ht="21">
      <c r="A10" s="43" t="s">
        <v>13</v>
      </c>
      <c r="B10" s="144">
        <v>20000</v>
      </c>
      <c r="C10" s="47"/>
      <c r="D10" s="80"/>
      <c r="E10" s="80"/>
      <c r="F10" s="3"/>
      <c r="G10" s="3"/>
      <c r="H10" s="3"/>
    </row>
    <row r="11" spans="1:8" ht="21">
      <c r="A11" s="43" t="s">
        <v>14</v>
      </c>
      <c r="B11" s="10" t="b">
        <v>1</v>
      </c>
      <c r="C11" s="47"/>
      <c r="D11" s="80"/>
      <c r="E11" s="80"/>
      <c r="F11" s="3"/>
      <c r="G11" s="3"/>
      <c r="H11" s="3"/>
    </row>
    <row r="12" spans="1:8" ht="21.75" thickBot="1">
      <c r="A12" s="43" t="s">
        <v>15</v>
      </c>
      <c r="B12" s="145"/>
      <c r="C12" s="47" t="s">
        <v>16</v>
      </c>
      <c r="D12" s="80"/>
      <c r="E12" s="80"/>
      <c r="F12" s="3"/>
      <c r="G12" s="3"/>
      <c r="H12" s="3"/>
    </row>
    <row r="13" spans="1:8" ht="21">
      <c r="A13" s="42" t="s">
        <v>17</v>
      </c>
      <c r="B13" s="18" t="s">
        <v>18</v>
      </c>
      <c r="C13" s="47"/>
      <c r="D13" s="80"/>
      <c r="E13" s="80"/>
      <c r="F13" s="3"/>
      <c r="G13" s="3"/>
      <c r="H13" s="3"/>
    </row>
    <row r="14" spans="1:8" ht="21">
      <c r="A14" s="43" t="s">
        <v>19</v>
      </c>
      <c r="B14" s="48">
        <f>IF(B8="Wind",0.25,0.8)</f>
        <v>0.8</v>
      </c>
      <c r="C14" s="47"/>
      <c r="D14" s="80"/>
      <c r="E14" s="80"/>
      <c r="F14" s="3"/>
      <c r="G14" s="3"/>
      <c r="H14" s="3"/>
    </row>
    <row r="15" spans="1:8" ht="21">
      <c r="A15" s="43" t="s">
        <v>20</v>
      </c>
      <c r="B15" s="144"/>
      <c r="C15" s="47" t="s">
        <v>21</v>
      </c>
      <c r="D15" s="80"/>
      <c r="E15" s="80"/>
      <c r="F15" s="3"/>
      <c r="G15" s="3"/>
      <c r="H15" s="3"/>
    </row>
    <row r="16" spans="1:8" ht="21.75" thickBot="1">
      <c r="A16" s="82" t="s">
        <v>22</v>
      </c>
      <c r="B16" s="83">
        <f>B15*1000/(B14*8760)</f>
        <v>0</v>
      </c>
      <c r="C16" s="47"/>
      <c r="D16" s="80"/>
      <c r="E16" s="80"/>
      <c r="F16" s="3"/>
      <c r="G16" s="3"/>
      <c r="H16" s="3"/>
    </row>
    <row r="17" spans="1:8" ht="21">
      <c r="A17" s="43" t="s">
        <v>23</v>
      </c>
      <c r="B17" s="49" t="b">
        <f>IF(B8="Wind",FALSE,IF(B8="Waste Heat to Power",FALSE,TRUE))</f>
        <v>1</v>
      </c>
      <c r="C17" s="47"/>
      <c r="D17" s="80"/>
      <c r="E17" s="80"/>
      <c r="F17" s="3"/>
      <c r="G17" s="3"/>
      <c r="H17" s="3"/>
    </row>
    <row r="18" spans="1:8" ht="21">
      <c r="A18" s="43" t="s">
        <v>24</v>
      </c>
      <c r="B18" s="221">
        <v>1</v>
      </c>
      <c r="C18" s="47" t="s">
        <v>25</v>
      </c>
      <c r="D18" s="80"/>
      <c r="E18" s="80"/>
      <c r="F18" s="3"/>
      <c r="G18" s="3"/>
      <c r="H18" s="3"/>
    </row>
    <row r="19" spans="1:8" ht="21">
      <c r="A19" s="43" t="s">
        <v>26</v>
      </c>
      <c r="B19" s="50">
        <f>1-B18</f>
        <v>0</v>
      </c>
      <c r="C19" s="47"/>
      <c r="D19" s="80"/>
      <c r="E19" s="80"/>
      <c r="F19" s="3"/>
      <c r="G19" s="3"/>
      <c r="H19" s="3"/>
    </row>
    <row r="20" spans="1:8" ht="21">
      <c r="A20" s="43" t="s">
        <v>27</v>
      </c>
      <c r="B20" s="51">
        <f>VLOOKUP("Biogas",'Form FIlls'!$A$2:$D$11,'Generation (2017)'!B7+1,FALSE)</f>
        <v>0.6</v>
      </c>
      <c r="C20" s="47"/>
      <c r="D20" s="80"/>
      <c r="E20" s="80"/>
      <c r="F20" s="3"/>
      <c r="G20" s="3"/>
      <c r="H20" s="3"/>
    </row>
    <row r="21" spans="1:8" ht="21">
      <c r="A21" s="43" t="s">
        <v>28</v>
      </c>
      <c r="B21" s="50">
        <f>VLOOKUP(B6,'Form FIlls'!$I$3:$J$6,2,FALSE)</f>
        <v>1</v>
      </c>
      <c r="C21" s="47"/>
      <c r="D21" s="80"/>
      <c r="E21" s="80"/>
      <c r="F21" s="3"/>
      <c r="G21" s="3"/>
      <c r="H21" s="3"/>
    </row>
    <row r="22" spans="1:8" ht="21">
      <c r="A22" s="43" t="s">
        <v>29</v>
      </c>
      <c r="B22" s="10" t="b">
        <v>1</v>
      </c>
      <c r="C22" s="47"/>
      <c r="D22" s="80"/>
      <c r="E22" s="80"/>
      <c r="F22" s="3"/>
      <c r="G22" s="3"/>
      <c r="H22" s="3"/>
    </row>
    <row r="23" spans="1:8" ht="21">
      <c r="A23" s="44" t="s">
        <v>30</v>
      </c>
      <c r="B23" s="11">
        <v>50</v>
      </c>
      <c r="C23" s="47"/>
      <c r="D23" s="80"/>
      <c r="E23" s="80"/>
      <c r="F23" s="3"/>
      <c r="G23" s="3"/>
      <c r="H23" s="3"/>
    </row>
    <row r="24" spans="1:8" ht="21">
      <c r="A24" s="44" t="s">
        <v>31</v>
      </c>
      <c r="B24" s="11">
        <v>50</v>
      </c>
      <c r="C24" s="47" t="s">
        <v>32</v>
      </c>
      <c r="D24" s="80"/>
      <c r="E24" s="80"/>
      <c r="F24" s="3"/>
      <c r="G24" s="3"/>
      <c r="H24" s="3"/>
    </row>
    <row r="25" spans="1:8" ht="21">
      <c r="A25" s="44" t="s">
        <v>33</v>
      </c>
      <c r="B25" s="145">
        <v>100</v>
      </c>
      <c r="C25" s="47"/>
      <c r="D25" s="80"/>
      <c r="E25" s="80"/>
      <c r="F25" s="3"/>
      <c r="G25" s="3"/>
      <c r="H25" s="3"/>
    </row>
    <row r="26" spans="1:8" ht="21">
      <c r="A26" s="44" t="s">
        <v>34</v>
      </c>
      <c r="B26" s="48">
        <f>B10*8760*B14*B25/1000000</f>
        <v>14016</v>
      </c>
      <c r="C26" s="47"/>
      <c r="D26" s="80"/>
      <c r="E26" s="80"/>
      <c r="F26" s="3"/>
      <c r="G26" s="3"/>
      <c r="H26" s="3"/>
    </row>
    <row r="27" spans="1:8" ht="21">
      <c r="A27" s="43" t="s">
        <v>35</v>
      </c>
      <c r="B27" s="52">
        <f>(B24-B23)*B26*10*B18</f>
        <v>0</v>
      </c>
      <c r="C27" s="47" t="s">
        <v>36</v>
      </c>
      <c r="D27" s="80"/>
      <c r="E27" s="80"/>
      <c r="F27" s="3"/>
      <c r="G27" s="3"/>
      <c r="H27" s="3"/>
    </row>
    <row r="28" spans="1:8" ht="21.75" thickBot="1">
      <c r="A28" s="82" t="s">
        <v>37</v>
      </c>
      <c r="B28" s="146">
        <v>0</v>
      </c>
      <c r="C28" s="47"/>
      <c r="D28" s="80"/>
      <c r="E28" s="4"/>
      <c r="F28" s="3"/>
      <c r="G28" s="3"/>
      <c r="H28" s="3"/>
    </row>
    <row r="29" spans="1:8" ht="21">
      <c r="A29" s="42" t="s">
        <v>38</v>
      </c>
      <c r="B29" s="20">
        <v>1000</v>
      </c>
      <c r="C29" s="47"/>
      <c r="D29" s="81"/>
      <c r="E29" s="5"/>
      <c r="F29" s="3"/>
      <c r="G29" s="3"/>
      <c r="H29" s="3"/>
    </row>
    <row r="30" spans="1:8" ht="21">
      <c r="A30" s="43" t="s">
        <v>39</v>
      </c>
      <c r="B30" s="11">
        <v>1000</v>
      </c>
      <c r="C30" s="47"/>
      <c r="D30" s="81"/>
      <c r="E30" s="81"/>
      <c r="F30" s="3"/>
      <c r="G30" s="3"/>
      <c r="H30" s="3"/>
    </row>
    <row r="31" spans="1:8" ht="21">
      <c r="A31" s="43" t="s">
        <v>40</v>
      </c>
      <c r="B31" s="11">
        <v>1000</v>
      </c>
      <c r="C31" s="47"/>
      <c r="D31" s="80"/>
      <c r="E31" s="80"/>
      <c r="F31" s="3"/>
      <c r="G31" s="3"/>
      <c r="H31" s="3"/>
    </row>
    <row r="32" spans="1:8" ht="21.75" thickBot="1">
      <c r="A32" s="45" t="s">
        <v>41</v>
      </c>
      <c r="B32" s="19">
        <v>0</v>
      </c>
      <c r="C32" s="47"/>
      <c r="D32" s="80"/>
      <c r="E32" s="80"/>
      <c r="F32" s="3"/>
      <c r="G32" s="3"/>
      <c r="H32" s="3"/>
    </row>
    <row r="33" spans="1:10">
      <c r="A33" s="37"/>
      <c r="B33" s="8"/>
      <c r="C33" s="13"/>
      <c r="D33" s="7"/>
      <c r="E33" s="7"/>
      <c r="F33" s="7"/>
      <c r="G33" s="7"/>
      <c r="H33" s="7"/>
      <c r="I33" s="1"/>
      <c r="J33" s="1"/>
    </row>
    <row r="34" spans="1:10" ht="24" thickBot="1">
      <c r="A34" s="46" t="s">
        <v>43</v>
      </c>
      <c r="B34" s="7"/>
      <c r="C34" s="14"/>
      <c r="D34" s="1"/>
      <c r="E34" s="1"/>
      <c r="F34" s="1"/>
      <c r="G34" s="1"/>
      <c r="H34" s="1"/>
      <c r="I34" s="1"/>
      <c r="J34" s="1"/>
    </row>
    <row r="35" spans="1:10" ht="21.75" thickBot="1">
      <c r="A35" s="208" t="s">
        <v>44</v>
      </c>
      <c r="B35" s="21"/>
      <c r="C35" s="209" t="str">
        <f>"Current Step: "&amp;B7</f>
        <v>Current Step: 1</v>
      </c>
      <c r="D35" s="21"/>
      <c r="E35" s="21"/>
      <c r="F35" s="22" t="str">
        <f>"Incentive Rate: $"&amp;B9&amp;" per Watt"</f>
        <v>Incentive Rate: $2 per Watt</v>
      </c>
      <c r="G35" s="21"/>
      <c r="H35" s="23"/>
      <c r="I35" s="1"/>
      <c r="J35" s="1"/>
    </row>
    <row r="36" spans="1:10" s="15" customFormat="1">
      <c r="A36" s="60" t="s">
        <v>45</v>
      </c>
      <c r="B36" s="61"/>
      <c r="C36" s="24" t="s">
        <v>46</v>
      </c>
      <c r="D36" s="62" t="s">
        <v>47</v>
      </c>
      <c r="E36" s="62" t="s">
        <v>48</v>
      </c>
      <c r="F36" s="61"/>
      <c r="G36" s="61"/>
      <c r="H36" s="63" t="s">
        <v>49</v>
      </c>
      <c r="I36" s="14"/>
      <c r="J36" s="14"/>
    </row>
    <row r="37" spans="1:10" s="15" customFormat="1">
      <c r="A37" s="32" t="s">
        <v>50</v>
      </c>
      <c r="B37" s="26"/>
      <c r="C37" s="25">
        <f>$B$9</f>
        <v>2</v>
      </c>
      <c r="D37" s="25">
        <f>ROUND(IF(D40=0,0,$C$37*0.75),2)</f>
        <v>1.5</v>
      </c>
      <c r="E37" s="25">
        <f>ROUND(IF(E40=0,0,$C$37*0.5),2)</f>
        <v>1</v>
      </c>
      <c r="F37" s="26"/>
      <c r="G37" s="26"/>
      <c r="H37" s="64"/>
      <c r="I37" s="14"/>
      <c r="J37" s="14"/>
    </row>
    <row r="38" spans="1:10" s="15" customFormat="1">
      <c r="A38" s="32" t="s">
        <v>51</v>
      </c>
      <c r="B38" s="26"/>
      <c r="C38" s="26">
        <f>IF(($B$12*1000)&lt;1000000,($B$12*1000),1000000)</f>
        <v>0</v>
      </c>
      <c r="D38" s="26">
        <f>IF(($B$12*1000)&gt;1000000,IF(($B$12*1000)&lt;2000000,(($B12*1000)-1000000),1000000),0)</f>
        <v>0</v>
      </c>
      <c r="E38" s="26">
        <f>IF(($B$12*1000)&gt;2000000,IF(($B$12*1000)&lt;3000000,(($B$12*1000)-2000000),1000000),0)</f>
        <v>0</v>
      </c>
      <c r="F38" s="26"/>
      <c r="G38" s="26"/>
      <c r="H38" s="65">
        <f>SUM(C38:E38)</f>
        <v>0</v>
      </c>
      <c r="I38" s="14"/>
      <c r="J38" s="14"/>
    </row>
    <row r="39" spans="1:10" s="15" customFormat="1">
      <c r="A39" s="32" t="s">
        <v>52</v>
      </c>
      <c r="B39" s="26"/>
      <c r="C39" s="27">
        <f>IF(($B$10*1000+C38)&lt;1000000,($B$10*1000),1000000-C38)</f>
        <v>1000000</v>
      </c>
      <c r="D39" s="27">
        <f>IF(($B$10*1000+C38)&gt;1000000,IF(($B$10*1000+C38+D38)&lt;2000000,$B$10*1000-C39,1000000-D38),0)</f>
        <v>1000000</v>
      </c>
      <c r="E39" s="27">
        <f>IF(($B$10*1000+SUM(C38:E38))&gt;2000000,IF(($B$10*1000+SUM(C38:E38))&lt;3000000,(($B$10*1000+C38+D38)-2000000),1000000-E38),0)</f>
        <v>1000000</v>
      </c>
      <c r="F39" s="26"/>
      <c r="G39" s="26"/>
      <c r="H39" s="65">
        <f>SUM(C39:E39)</f>
        <v>3000000</v>
      </c>
      <c r="I39" s="14"/>
      <c r="J39" s="14"/>
    </row>
    <row r="40" spans="1:10" s="15" customFormat="1">
      <c r="A40" s="32" t="s">
        <v>53</v>
      </c>
      <c r="B40" s="26"/>
      <c r="C40" s="27">
        <f>ROUND(IF(B13="yes",IF($B$16&lt;1000000,$B$16,1000000),C39),0)</f>
        <v>1000000</v>
      </c>
      <c r="D40" s="27">
        <f>IF(B13="yes",IF($B$16&gt;1000000,IF($B$16&lt;2000000,($B$16-1000000),1000000),0),D39)</f>
        <v>1000000</v>
      </c>
      <c r="E40" s="27">
        <f>IF(B13="yes",IF($B$16&gt;2000000,IF($B$16&lt;3000000,$B$16-2000000,1000000),0),E39)</f>
        <v>1000000</v>
      </c>
      <c r="F40" s="26"/>
      <c r="G40" s="26"/>
      <c r="H40" s="65">
        <f>SUM(C40:E40)</f>
        <v>3000000</v>
      </c>
      <c r="I40" s="14"/>
      <c r="J40" s="14"/>
    </row>
    <row r="41" spans="1:10" s="15" customFormat="1">
      <c r="A41" s="32" t="s">
        <v>54</v>
      </c>
      <c r="B41" s="26"/>
      <c r="C41" s="25">
        <f>C40*C37</f>
        <v>2000000</v>
      </c>
      <c r="D41" s="25">
        <f>D40*D37</f>
        <v>1500000</v>
      </c>
      <c r="E41" s="25">
        <f>E40*E37</f>
        <v>1000000</v>
      </c>
      <c r="F41" s="26"/>
      <c r="G41" s="26"/>
      <c r="H41" s="66">
        <f>SUM(C41:E41)</f>
        <v>4500000</v>
      </c>
      <c r="I41" s="14"/>
      <c r="J41" s="14"/>
    </row>
    <row r="42" spans="1:10" s="15" customFormat="1">
      <c r="A42" s="32" t="s">
        <v>55</v>
      </c>
      <c r="B42" s="26"/>
      <c r="C42" s="25">
        <f>IF($B$11=TRUE, 0.2*C41,0)</f>
        <v>400000</v>
      </c>
      <c r="D42" s="25">
        <f>IF($B$11=TRUE, 0.2*D41,0)</f>
        <v>300000</v>
      </c>
      <c r="E42" s="25">
        <f>IF($B$11=TRUE, 0.2*E41,0)</f>
        <v>200000</v>
      </c>
      <c r="F42" s="26"/>
      <c r="G42" s="26"/>
      <c r="H42" s="66">
        <f>SUM(C42:E42)</f>
        <v>900000</v>
      </c>
      <c r="I42" s="14"/>
      <c r="J42" s="14"/>
    </row>
    <row r="43" spans="1:10" s="15" customFormat="1">
      <c r="A43" s="67" t="s">
        <v>56</v>
      </c>
      <c r="B43" s="26"/>
      <c r="C43" s="25">
        <f>C42+C41</f>
        <v>2400000</v>
      </c>
      <c r="D43" s="25">
        <f>D42+D41</f>
        <v>1800000</v>
      </c>
      <c r="E43" s="25">
        <f>E42+E41</f>
        <v>1200000</v>
      </c>
      <c r="F43" s="68"/>
      <c r="G43" s="68" t="s">
        <v>57</v>
      </c>
      <c r="H43" s="85">
        <f>C43+D43+E43</f>
        <v>5400000</v>
      </c>
      <c r="I43" s="14"/>
      <c r="J43" s="14"/>
    </row>
    <row r="44" spans="1:10" s="15" customFormat="1">
      <c r="A44" s="69" t="s">
        <v>61</v>
      </c>
      <c r="B44" s="28"/>
      <c r="C44" s="28"/>
      <c r="D44" s="28"/>
      <c r="E44" s="28"/>
      <c r="F44" s="28"/>
      <c r="G44" s="28"/>
      <c r="H44" s="70"/>
      <c r="I44" s="14"/>
      <c r="J44" s="14"/>
    </row>
    <row r="45" spans="1:10" s="15" customFormat="1">
      <c r="A45" s="32" t="s">
        <v>50</v>
      </c>
      <c r="B45" s="26"/>
      <c r="C45" s="25">
        <f>IF($B$17=TRUE,$B$20,0)</f>
        <v>0.6</v>
      </c>
      <c r="D45" s="25">
        <f>C45</f>
        <v>0.6</v>
      </c>
      <c r="E45" s="25">
        <f>D45</f>
        <v>0.6</v>
      </c>
      <c r="F45" s="26"/>
      <c r="G45" s="26"/>
      <c r="H45" s="64"/>
      <c r="I45" s="14"/>
      <c r="J45" s="14"/>
    </row>
    <row r="46" spans="1:10" s="15" customFormat="1">
      <c r="A46" s="32" t="s">
        <v>53</v>
      </c>
      <c r="B46" s="26"/>
      <c r="C46" s="29">
        <f>IF($B$17=TRUE,C40,0)</f>
        <v>1000000</v>
      </c>
      <c r="D46" s="29">
        <f>IF($B$17=TRUE,D40,0)</f>
        <v>1000000</v>
      </c>
      <c r="E46" s="29">
        <f>IF($B$17=TRUE,E40,0)</f>
        <v>1000000</v>
      </c>
      <c r="F46" s="26"/>
      <c r="G46" s="26"/>
      <c r="H46" s="64"/>
      <c r="I46" s="14"/>
      <c r="J46" s="14"/>
    </row>
    <row r="47" spans="1:10" s="15" customFormat="1">
      <c r="A47" s="32" t="s">
        <v>62</v>
      </c>
      <c r="B47" s="26"/>
      <c r="C47" s="29">
        <f>IF(($B$10*1000*(IF($B$18&gt;$B$21,$B$18-$B$21,0)))&lt;1000000,($B$10*1000*(IF($B$18&gt;$B$21,$B$18-$B$21,0))),1000000)</f>
        <v>0</v>
      </c>
      <c r="D47" s="29">
        <f>IF(($B$10*1000*(IF($B$18&gt;$B$21,$B$18-$B$21,0)))&gt;1000000,IF(($B$10*1000*(IF($B$18&gt;$B$21,$B$18-$B$21,0)))&lt;2000000,$B$10*1000*(IF($B$18&gt;$B$21,$B$18-$B$21,0))-C47,1000000),0)</f>
        <v>0</v>
      </c>
      <c r="E47" s="29">
        <f>IF(($B$10*1000*(IF($B$18&gt;$B$21,$B$18-$B$21,0)))&gt;2000000,IF(($B$10*1000*(IF($B$18&gt;$B$21,$B$18-$B$21,0)))&lt;3000000,$B$10*1000*(IF($B$18&gt;$B$21,$B$18-$B$21,0))-C47-D47,1000000),0)</f>
        <v>0</v>
      </c>
      <c r="F47" s="26"/>
      <c r="G47" s="26"/>
      <c r="H47" s="64"/>
      <c r="I47" s="14"/>
      <c r="J47" s="14"/>
    </row>
    <row r="48" spans="1:10" s="15" customFormat="1">
      <c r="A48" s="32" t="s">
        <v>63</v>
      </c>
      <c r="B48" s="26"/>
      <c r="C48" s="30">
        <f>C45*C47</f>
        <v>0</v>
      </c>
      <c r="D48" s="30">
        <f>D45*D47</f>
        <v>0</v>
      </c>
      <c r="E48" s="30">
        <f>E45*E47</f>
        <v>0</v>
      </c>
      <c r="F48" s="68"/>
      <c r="G48" s="68" t="s">
        <v>64</v>
      </c>
      <c r="H48" s="66">
        <f>$C$48+$D$48+$E$48</f>
        <v>0</v>
      </c>
      <c r="I48" s="14"/>
      <c r="J48" s="14"/>
    </row>
    <row r="49" spans="1:10" s="15" customFormat="1">
      <c r="A49" s="32" t="s">
        <v>65</v>
      </c>
      <c r="B49" s="26"/>
      <c r="C49" s="26"/>
      <c r="D49" s="26"/>
      <c r="E49" s="26"/>
      <c r="F49" s="68"/>
      <c r="G49" s="68" t="s">
        <v>66</v>
      </c>
      <c r="H49" s="71" t="str">
        <f>IF($B$17=FALSE,"",IF($B$22=FALSE,$B$27,""))</f>
        <v/>
      </c>
      <c r="I49" s="14"/>
      <c r="J49" s="14"/>
    </row>
    <row r="50" spans="1:10" s="15" customFormat="1">
      <c r="A50" s="67" t="s">
        <v>67</v>
      </c>
      <c r="B50" s="26"/>
      <c r="C50" s="26"/>
      <c r="D50" s="26"/>
      <c r="E50" s="26"/>
      <c r="F50" s="68"/>
      <c r="G50" s="68" t="s">
        <v>68</v>
      </c>
      <c r="H50" s="85">
        <f>IF($H$49&lt;=$H$48,$H$49,$H$48)</f>
        <v>0</v>
      </c>
      <c r="I50" s="14"/>
      <c r="J50" s="14"/>
    </row>
    <row r="51" spans="1:10" s="15" customFormat="1">
      <c r="A51" s="69" t="s">
        <v>69</v>
      </c>
      <c r="B51" s="28"/>
      <c r="C51" s="31" t="s">
        <v>49</v>
      </c>
      <c r="D51" s="28"/>
      <c r="E51" s="28"/>
      <c r="F51" s="28"/>
      <c r="G51" s="28"/>
      <c r="H51" s="72" t="s">
        <v>70</v>
      </c>
      <c r="I51" s="14"/>
      <c r="J51" s="14"/>
    </row>
    <row r="52" spans="1:10" s="15" customFormat="1">
      <c r="A52" s="32" t="s">
        <v>71</v>
      </c>
      <c r="B52" s="26"/>
      <c r="C52" s="25">
        <f>B29</f>
        <v>1000</v>
      </c>
      <c r="D52" s="26"/>
      <c r="E52" s="26"/>
      <c r="F52" s="68"/>
      <c r="G52" s="68" t="s">
        <v>103</v>
      </c>
      <c r="H52" s="73">
        <f>-C52</f>
        <v>-1000</v>
      </c>
      <c r="I52" s="14"/>
      <c r="J52" s="14"/>
    </row>
    <row r="53" spans="1:10" s="15" customFormat="1">
      <c r="A53" s="32" t="s">
        <v>73</v>
      </c>
      <c r="B53" s="26"/>
      <c r="C53" s="25">
        <f>B30</f>
        <v>1000</v>
      </c>
      <c r="D53" s="26"/>
      <c r="E53" s="26"/>
      <c r="F53" s="68"/>
      <c r="G53" s="68" t="s">
        <v>104</v>
      </c>
      <c r="H53" s="73">
        <f>-C53/2</f>
        <v>-500</v>
      </c>
      <c r="I53" s="14"/>
      <c r="J53" s="14"/>
    </row>
    <row r="54" spans="1:10" s="15" customFormat="1">
      <c r="A54" s="32" t="s">
        <v>75</v>
      </c>
      <c r="B54" s="26"/>
      <c r="C54" s="25">
        <f>B31</f>
        <v>1000</v>
      </c>
      <c r="D54" s="26"/>
      <c r="E54" s="26"/>
      <c r="F54" s="26"/>
      <c r="G54" s="26"/>
      <c r="H54" s="64"/>
      <c r="I54" s="14"/>
      <c r="J54" s="14"/>
    </row>
    <row r="55" spans="1:10" s="15" customFormat="1">
      <c r="A55" s="32" t="s">
        <v>76</v>
      </c>
      <c r="B55" s="26"/>
      <c r="C55" s="25">
        <f>B32*B28</f>
        <v>0</v>
      </c>
      <c r="D55" s="26"/>
      <c r="E55" s="26"/>
      <c r="F55" s="26"/>
      <c r="G55" s="26"/>
      <c r="H55" s="64"/>
      <c r="I55" s="14"/>
      <c r="J55" s="14"/>
    </row>
    <row r="56" spans="1:10" s="15" customFormat="1">
      <c r="A56" s="74" t="s">
        <v>77</v>
      </c>
      <c r="B56" s="26"/>
      <c r="C56" s="25"/>
      <c r="D56" s="26"/>
      <c r="E56" s="26"/>
      <c r="F56" s="68"/>
      <c r="G56" s="68" t="s">
        <v>105</v>
      </c>
      <c r="H56" s="75">
        <f>IF($H$43+$H$52+$H$53&gt;0,$H$43+$H$52+$H$53,0)</f>
        <v>5398500</v>
      </c>
      <c r="I56" s="14"/>
      <c r="J56" s="14"/>
    </row>
    <row r="57" spans="1:10" s="15" customFormat="1">
      <c r="A57" s="32" t="s">
        <v>79</v>
      </c>
      <c r="B57" s="68" t="s">
        <v>89</v>
      </c>
      <c r="C57" s="25">
        <f>SUM($C$52:$C$55)</f>
        <v>3000</v>
      </c>
      <c r="D57" s="26"/>
      <c r="E57" s="26"/>
      <c r="F57" s="26"/>
      <c r="G57" s="26"/>
      <c r="H57" s="64"/>
      <c r="I57" s="14"/>
      <c r="J57" s="14"/>
    </row>
    <row r="58" spans="1:10" s="15" customFormat="1">
      <c r="A58" s="69" t="s">
        <v>81</v>
      </c>
      <c r="B58" s="28"/>
      <c r="C58" s="31" t="s">
        <v>82</v>
      </c>
      <c r="D58" s="31" t="s">
        <v>106</v>
      </c>
      <c r="E58" s="31" t="s">
        <v>84</v>
      </c>
      <c r="F58" s="31" t="s">
        <v>85</v>
      </c>
      <c r="G58" s="28"/>
      <c r="H58" s="72" t="s">
        <v>86</v>
      </c>
      <c r="I58" s="14"/>
      <c r="J58" s="14"/>
    </row>
    <row r="59" spans="1:10" s="15" customFormat="1">
      <c r="A59" s="32" t="s">
        <v>87</v>
      </c>
      <c r="B59" s="68" t="s">
        <v>107</v>
      </c>
      <c r="C59" s="25">
        <f>H56</f>
        <v>5398500</v>
      </c>
      <c r="D59" s="25">
        <f>$H$50</f>
        <v>0</v>
      </c>
      <c r="E59" s="26"/>
      <c r="F59" s="76">
        <v>5000000</v>
      </c>
      <c r="G59" s="77" t="s">
        <v>92</v>
      </c>
      <c r="H59" s="66">
        <f>IF(F59&gt;(C59+D59),0,F59-(C59+D59))</f>
        <v>-398500</v>
      </c>
      <c r="I59" s="14"/>
      <c r="J59" s="14"/>
    </row>
    <row r="60" spans="1:10" s="15" customFormat="1">
      <c r="A60" s="32" t="s">
        <v>90</v>
      </c>
      <c r="B60" s="68" t="s">
        <v>108</v>
      </c>
      <c r="C60" s="25">
        <f>H59+C59</f>
        <v>5000000</v>
      </c>
      <c r="D60" s="25">
        <f>$H$50</f>
        <v>0</v>
      </c>
      <c r="E60" s="25">
        <f>$C$57</f>
        <v>3000</v>
      </c>
      <c r="F60" s="78">
        <f>B28</f>
        <v>0</v>
      </c>
      <c r="G60" s="68" t="s">
        <v>109</v>
      </c>
      <c r="H60" s="73">
        <f>IF(F60&gt;(C60+D60+E60),0,F60-(C60+D60+E60))</f>
        <v>-5003000</v>
      </c>
      <c r="I60" s="14"/>
      <c r="J60" s="14"/>
    </row>
    <row r="61" spans="1:10" s="15" customFormat="1">
      <c r="A61" s="32"/>
      <c r="B61" s="26"/>
      <c r="C61" s="26"/>
      <c r="D61" s="26"/>
      <c r="E61" s="26"/>
      <c r="F61" s="26"/>
      <c r="G61" s="26"/>
      <c r="H61" s="64"/>
      <c r="I61" s="14"/>
      <c r="J61" s="14"/>
    </row>
    <row r="62" spans="1:10" s="15" customFormat="1">
      <c r="A62" s="32" t="s">
        <v>45</v>
      </c>
      <c r="B62" s="26"/>
      <c r="C62" s="26"/>
      <c r="D62" s="26"/>
      <c r="E62" s="26"/>
      <c r="F62" s="26"/>
      <c r="G62" s="68" t="s">
        <v>110</v>
      </c>
      <c r="H62" s="66">
        <f>IF(H56+H59+H60&gt;0,H56+H59+H60,0)</f>
        <v>0</v>
      </c>
      <c r="I62" s="84"/>
      <c r="J62" s="14"/>
    </row>
    <row r="63" spans="1:10" s="15" customFormat="1">
      <c r="A63" s="32" t="s">
        <v>94</v>
      </c>
      <c r="B63" s="26"/>
      <c r="C63" s="26"/>
      <c r="D63" s="26"/>
      <c r="E63" s="26"/>
      <c r="F63" s="26"/>
      <c r="G63" s="26"/>
      <c r="H63" s="66">
        <f>H50</f>
        <v>0</v>
      </c>
      <c r="I63" s="14"/>
      <c r="J63" s="14"/>
    </row>
    <row r="64" spans="1:10" s="15" customFormat="1" ht="19.5" thickBot="1">
      <c r="A64" s="33" t="s">
        <v>96</v>
      </c>
      <c r="B64" s="34"/>
      <c r="C64" s="34"/>
      <c r="D64" s="34"/>
      <c r="E64" s="34"/>
      <c r="F64" s="34"/>
      <c r="G64" s="34"/>
      <c r="H64" s="86">
        <f>IF(H63+H62&gt;0,H63+H62,0)</f>
        <v>0</v>
      </c>
      <c r="I64" s="14"/>
      <c r="J64" s="14"/>
    </row>
    <row r="65" spans="1:10">
      <c r="A65" s="35"/>
      <c r="B65" s="35"/>
      <c r="C65" s="36"/>
      <c r="D65" s="35"/>
      <c r="E65" s="35"/>
      <c r="F65" s="35"/>
      <c r="G65" s="35"/>
      <c r="H65" s="35"/>
      <c r="I65" s="1"/>
      <c r="J65" s="1"/>
    </row>
    <row r="66" spans="1:10" s="15" customFormat="1">
      <c r="A66" s="91" t="s">
        <v>97</v>
      </c>
      <c r="B66" s="36"/>
      <c r="C66" s="36"/>
      <c r="D66" s="36"/>
      <c r="E66" s="36"/>
      <c r="F66" s="36"/>
      <c r="G66" s="36"/>
      <c r="H66" s="36"/>
      <c r="I66" s="14"/>
      <c r="J66" s="14"/>
    </row>
    <row r="67" spans="1:10" s="15" customFormat="1">
      <c r="A67" s="36" t="s">
        <v>111</v>
      </c>
      <c r="B67" s="36"/>
      <c r="C67" s="36"/>
      <c r="D67" s="36"/>
      <c r="E67" s="36"/>
      <c r="F67" s="36"/>
      <c r="G67" s="36"/>
      <c r="H67" s="36"/>
      <c r="I67" s="14"/>
      <c r="J67" s="14"/>
    </row>
    <row r="68" spans="1:10" s="15" customFormat="1">
      <c r="A68" s="36" t="s">
        <v>112</v>
      </c>
      <c r="B68" s="36"/>
      <c r="C68" s="36"/>
      <c r="D68" s="36"/>
      <c r="E68" s="36"/>
      <c r="F68" s="36"/>
      <c r="G68" s="36"/>
      <c r="H68" s="36"/>
      <c r="I68" s="14"/>
      <c r="J68" s="14"/>
    </row>
    <row r="69" spans="1:10" s="15" customFormat="1">
      <c r="A69" s="141" t="s">
        <v>113</v>
      </c>
      <c r="B69" s="36"/>
      <c r="C69" s="36"/>
      <c r="D69" s="36"/>
      <c r="E69" s="36"/>
      <c r="F69" s="36"/>
      <c r="G69" s="36"/>
      <c r="H69" s="36"/>
      <c r="I69" s="14"/>
      <c r="J69" s="14"/>
    </row>
    <row r="70" spans="1:10">
      <c r="A70" s="7"/>
      <c r="B70" s="7"/>
      <c r="C70" s="14"/>
      <c r="D70" s="1"/>
      <c r="E70" s="1"/>
      <c r="F70" s="1"/>
      <c r="G70" s="1"/>
      <c r="H70" s="1"/>
      <c r="I70" s="1"/>
      <c r="J70" s="1"/>
    </row>
    <row r="71" spans="1:10">
      <c r="A71" s="7"/>
      <c r="B71" s="7"/>
      <c r="C71" s="14"/>
      <c r="D71" s="1"/>
      <c r="E71" s="1"/>
      <c r="F71" s="1"/>
      <c r="G71" s="1"/>
      <c r="H71" s="1"/>
      <c r="I71" s="1"/>
      <c r="J71" s="1"/>
    </row>
    <row r="72" spans="1:10">
      <c r="A72" s="7"/>
      <c r="B72" s="7"/>
      <c r="C72" s="14"/>
      <c r="D72" s="1"/>
      <c r="E72" s="1"/>
      <c r="F72" s="1"/>
      <c r="G72" s="1"/>
      <c r="H72" s="1"/>
      <c r="I72" s="1"/>
      <c r="J72" s="1"/>
    </row>
    <row r="73" spans="1:10">
      <c r="A73" s="7"/>
      <c r="B73" s="7"/>
      <c r="C73" s="14"/>
      <c r="D73" s="1"/>
      <c r="E73" s="1"/>
      <c r="F73" s="1"/>
      <c r="G73" s="1"/>
      <c r="H73" s="1"/>
      <c r="I73" s="1"/>
      <c r="J73" s="1"/>
    </row>
  </sheetData>
  <sheetProtection selectLockedCells="1"/>
  <pageMargins left="0.75" right="0.75" top="1" bottom="1" header="0.5" footer="0.5"/>
  <pageSetup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'Form FIlls'!$A$3:$A$10</xm:f>
          </x14:formula1>
          <xm:sqref>B8</xm:sqref>
        </x14:dataValidation>
        <x14:dataValidation type="list" allowBlank="1" showInputMessage="1" showErrorMessage="1" xr:uid="{00000000-0002-0000-0000-000001000000}">
          <x14:formula1>
            <xm:f>'Form FIlls'!$A$21:$A$24</xm:f>
          </x14:formula1>
          <xm:sqref>B6</xm:sqref>
        </x14:dataValidation>
        <x14:dataValidation type="list" allowBlank="1" showInputMessage="1" showErrorMessage="1" xr:uid="{00000000-0002-0000-0000-000002000000}">
          <x14:formula1>
            <xm:f>'Form FIlls'!$B$21:$B$23</xm:f>
          </x14:formula1>
          <xm:sqref>B7</xm:sqref>
        </x14:dataValidation>
        <x14:dataValidation type="list" allowBlank="1" showInputMessage="1" showErrorMessage="1" xr:uid="{00000000-0002-0000-0000-000003000000}">
          <x14:formula1>
            <xm:f>'Form FIlls'!$D$21:$D$22</xm:f>
          </x14:formula1>
          <xm:sqref>B13</xm:sqref>
        </x14:dataValidation>
        <x14:dataValidation type="list" allowBlank="1" showInputMessage="1" showErrorMessage="1" xr:uid="{00000000-0002-0000-0000-000004000000}">
          <x14:formula1>
            <xm:f>'Form FIlls'!$E$21:$E$22</xm:f>
          </x14:formula1>
          <xm:sqref>B22 B11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5"/>
  <sheetViews>
    <sheetView zoomScale="101" workbookViewId="0">
      <selection activeCell="F22" sqref="F22"/>
    </sheetView>
  </sheetViews>
  <sheetFormatPr defaultColWidth="11" defaultRowHeight="15.75"/>
  <cols>
    <col min="1" max="1" width="23.5" customWidth="1"/>
    <col min="2" max="2" width="19.125" customWidth="1"/>
    <col min="9" max="9" width="17.5" customWidth="1"/>
    <col min="10" max="10" width="20.875" customWidth="1"/>
  </cols>
  <sheetData>
    <row r="2" spans="1:10">
      <c r="A2" s="6" t="s">
        <v>9</v>
      </c>
      <c r="B2" s="6" t="s">
        <v>163</v>
      </c>
      <c r="C2" s="6" t="s">
        <v>164</v>
      </c>
      <c r="D2" s="6" t="s">
        <v>165</v>
      </c>
      <c r="I2" s="6" t="s">
        <v>5</v>
      </c>
      <c r="J2" s="6" t="s">
        <v>166</v>
      </c>
    </row>
    <row r="3" spans="1:10">
      <c r="A3" t="s">
        <v>10</v>
      </c>
      <c r="B3">
        <v>0.9</v>
      </c>
      <c r="C3">
        <v>0.8</v>
      </c>
      <c r="D3">
        <v>0.7</v>
      </c>
      <c r="G3" t="s">
        <v>163</v>
      </c>
      <c r="I3">
        <v>2017</v>
      </c>
      <c r="J3" s="2">
        <v>0.1</v>
      </c>
    </row>
    <row r="4" spans="1:10">
      <c r="A4" t="s">
        <v>167</v>
      </c>
      <c r="B4">
        <v>0.6</v>
      </c>
      <c r="C4">
        <v>0.5</v>
      </c>
      <c r="D4">
        <v>0.4</v>
      </c>
      <c r="G4" t="s">
        <v>164</v>
      </c>
      <c r="I4">
        <v>2018</v>
      </c>
      <c r="J4" s="2">
        <v>0.25</v>
      </c>
    </row>
    <row r="5" spans="1:10">
      <c r="A5" t="s">
        <v>168</v>
      </c>
      <c r="B5">
        <v>0.6</v>
      </c>
      <c r="C5">
        <v>0.5</v>
      </c>
      <c r="D5">
        <v>0.4</v>
      </c>
      <c r="G5" t="s">
        <v>165</v>
      </c>
      <c r="I5">
        <v>2019</v>
      </c>
      <c r="J5" s="2">
        <v>0.5</v>
      </c>
    </row>
    <row r="6" spans="1:10">
      <c r="A6" t="s">
        <v>169</v>
      </c>
      <c r="B6">
        <v>0.6</v>
      </c>
      <c r="C6">
        <v>0.5</v>
      </c>
      <c r="D6">
        <v>0.4</v>
      </c>
      <c r="I6">
        <v>2020</v>
      </c>
      <c r="J6" s="2">
        <v>1</v>
      </c>
    </row>
    <row r="7" spans="1:10">
      <c r="A7" t="s">
        <v>102</v>
      </c>
      <c r="B7">
        <v>0.6</v>
      </c>
      <c r="C7">
        <v>0.5</v>
      </c>
      <c r="D7">
        <v>0.4</v>
      </c>
    </row>
    <row r="8" spans="1:10">
      <c r="A8" t="s">
        <v>170</v>
      </c>
      <c r="B8">
        <v>0.6</v>
      </c>
      <c r="C8">
        <v>0.5</v>
      </c>
      <c r="D8">
        <v>0.4</v>
      </c>
    </row>
    <row r="9" spans="1:10">
      <c r="A9" t="s">
        <v>171</v>
      </c>
      <c r="B9">
        <v>0.6</v>
      </c>
      <c r="C9">
        <v>0.5</v>
      </c>
      <c r="D9">
        <v>0.4</v>
      </c>
    </row>
    <row r="10" spans="1:10">
      <c r="A10" t="s">
        <v>172</v>
      </c>
      <c r="B10">
        <v>0.6</v>
      </c>
      <c r="C10">
        <v>0.5</v>
      </c>
      <c r="D10">
        <v>0.4</v>
      </c>
    </row>
    <row r="11" spans="1:10">
      <c r="A11" t="s">
        <v>173</v>
      </c>
      <c r="B11">
        <v>0.6</v>
      </c>
      <c r="C11">
        <v>0.6</v>
      </c>
      <c r="D11">
        <v>0.6</v>
      </c>
    </row>
    <row r="15" spans="1:10">
      <c r="A15" s="6" t="s">
        <v>9</v>
      </c>
      <c r="B15" s="6" t="s">
        <v>163</v>
      </c>
      <c r="C15" s="6" t="s">
        <v>164</v>
      </c>
      <c r="D15" s="6" t="s">
        <v>165</v>
      </c>
      <c r="E15" s="6" t="s">
        <v>174</v>
      </c>
      <c r="F15" s="6" t="s">
        <v>175</v>
      </c>
    </row>
    <row r="16" spans="1:10">
      <c r="A16" t="s">
        <v>176</v>
      </c>
      <c r="B16">
        <v>0.36</v>
      </c>
      <c r="C16">
        <v>0.31</v>
      </c>
      <c r="D16">
        <v>0.26</v>
      </c>
      <c r="E16">
        <v>0.21</v>
      </c>
      <c r="F16">
        <v>0.16</v>
      </c>
    </row>
    <row r="17" spans="1:6">
      <c r="A17" t="s">
        <v>177</v>
      </c>
      <c r="B17">
        <v>0.5</v>
      </c>
      <c r="C17">
        <v>0.45</v>
      </c>
      <c r="D17">
        <v>0.4</v>
      </c>
      <c r="E17">
        <v>0.35</v>
      </c>
      <c r="F17">
        <v>0.3</v>
      </c>
    </row>
    <row r="20" spans="1:6">
      <c r="A20" s="6" t="s">
        <v>178</v>
      </c>
      <c r="B20" s="6" t="s">
        <v>179</v>
      </c>
      <c r="C20" s="6" t="s">
        <v>180</v>
      </c>
      <c r="D20" s="6" t="s">
        <v>181</v>
      </c>
    </row>
    <row r="21" spans="1:6">
      <c r="A21">
        <v>2017</v>
      </c>
      <c r="B21">
        <v>1</v>
      </c>
      <c r="C21">
        <v>1</v>
      </c>
      <c r="D21" t="s">
        <v>182</v>
      </c>
      <c r="E21" t="s">
        <v>183</v>
      </c>
      <c r="F21" t="s">
        <v>123</v>
      </c>
    </row>
    <row r="22" spans="1:6">
      <c r="A22">
        <v>2018</v>
      </c>
      <c r="B22">
        <v>2</v>
      </c>
      <c r="C22">
        <v>2</v>
      </c>
      <c r="D22" t="s">
        <v>18</v>
      </c>
      <c r="E22" t="s">
        <v>123</v>
      </c>
    </row>
    <row r="23" spans="1:6">
      <c r="A23">
        <v>2019</v>
      </c>
      <c r="B23">
        <v>3</v>
      </c>
      <c r="C23">
        <v>3</v>
      </c>
    </row>
    <row r="24" spans="1:6">
      <c r="A24">
        <v>2020</v>
      </c>
      <c r="C24">
        <v>4</v>
      </c>
    </row>
    <row r="25" spans="1:6">
      <c r="C25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Members xmlns="d8d9bffa-6895-4628-a421-1c5b58930b2e">
      <UserInfo>
        <DisplayName/>
        <AccountId xsi:nil="true"/>
        <AccountType/>
      </UserInfo>
    </TeamMembers>
    <POC_x002f_Owner xmlns="d8d9bffa-6895-4628-a421-1c5b58930b2e">
      <UserInfo>
        <DisplayName/>
        <AccountId xsi:nil="true"/>
        <AccountType/>
      </UserInfo>
    </POC_x002f_Owner>
    <Task xmlns="d8d9bffa-6895-4628-a421-1c5b58930b2e" xsi:nil="true"/>
    <WorkspaceStatus xmlns="d8d9bffa-6895-4628-a421-1c5b58930b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3750596B3CCF4C86C04E6E9F9D6917" ma:contentTypeVersion="15" ma:contentTypeDescription="Create a new document." ma:contentTypeScope="" ma:versionID="39c893beadea9eafebda983272acbf57">
  <xsd:schema xmlns:xsd="http://www.w3.org/2001/XMLSchema" xmlns:xs="http://www.w3.org/2001/XMLSchema" xmlns:p="http://schemas.microsoft.com/office/2006/metadata/properties" xmlns:ns2="d8d9bffa-6895-4628-a421-1c5b58930b2e" xmlns:ns3="3d9d577b-9d73-4d8f-88e5-230a33e035c6" targetNamespace="http://schemas.microsoft.com/office/2006/metadata/properties" ma:root="true" ma:fieldsID="78d167b1d71a89e743286bf7091c2a17" ns2:_="" ns3:_="">
    <xsd:import namespace="d8d9bffa-6895-4628-a421-1c5b58930b2e"/>
    <xsd:import namespace="3d9d577b-9d73-4d8f-88e5-230a33e035c6"/>
    <xsd:element name="properties">
      <xsd:complexType>
        <xsd:sequence>
          <xsd:element name="documentManagement">
            <xsd:complexType>
              <xsd:all>
                <xsd:element ref="ns2:Task" minOccurs="0"/>
                <xsd:element ref="ns2:POC_x002f_Owner" minOccurs="0"/>
                <xsd:element ref="ns2:TeamMembers" minOccurs="0"/>
                <xsd:element ref="ns2:WorkspaceStatu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9bffa-6895-4628-a421-1c5b58930b2e" elementFormDefault="qualified">
    <xsd:import namespace="http://schemas.microsoft.com/office/2006/documentManagement/types"/>
    <xsd:import namespace="http://schemas.microsoft.com/office/infopath/2007/PartnerControls"/>
    <xsd:element name="Task" ma:index="8" nillable="true" ma:displayName="Task" ma:format="Dropdown" ma:internalName="Task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POC_x002f_Owner" ma:index="9" nillable="true" ma:displayName="POC/Owner" ma:format="Dropdown" ma:list="UserInfo" ma:SharePointGroup="0" ma:internalName="POC_x002f_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Members" ma:index="10" nillable="true" ma:displayName="Team Members" ma:format="Dropdown" ma:list="UserInfo" ma:SharePointGroup="0" ma:internalName="Team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orkspaceStatus" ma:index="11" nillable="true" ma:displayName="Workspace Status" ma:format="Dropdown" ma:internalName="WorkspaceStatus">
      <xsd:simpleType>
        <xsd:restriction base="dms:Choice">
          <xsd:enumeration value="Active"/>
          <xsd:enumeration value="Complete"/>
          <xsd:enumeration value="Deferred"/>
          <xsd:enumeration value="Cancelled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d577b-9d73-4d8f-88e5-230a33e035c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AFBF2D-3827-4395-8421-47EF66CC453C}">
  <ds:schemaRefs>
    <ds:schemaRef ds:uri="http://schemas.microsoft.com/office/2006/metadata/properties"/>
    <ds:schemaRef ds:uri="http://schemas.microsoft.com/office/infopath/2007/PartnerControls"/>
    <ds:schemaRef ds:uri="d8d9bffa-6895-4628-a421-1c5b58930b2e"/>
  </ds:schemaRefs>
</ds:datastoreItem>
</file>

<file path=customXml/itemProps2.xml><?xml version="1.0" encoding="utf-8"?>
<ds:datastoreItem xmlns:ds="http://schemas.openxmlformats.org/officeDocument/2006/customXml" ds:itemID="{418F0E8E-517A-4F4D-AAA5-815B51B2C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d9bffa-6895-4628-a421-1c5b58930b2e"/>
    <ds:schemaRef ds:uri="3d9d577b-9d73-4d8f-88e5-230a33e035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E5F30D-1571-4BFA-8111-A434A35DD1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Storage - General Market (2020)</vt:lpstr>
      <vt:lpstr>Storage - Equity&amp;ER (2020)</vt:lpstr>
      <vt:lpstr>Storage - General Market (2017)</vt:lpstr>
      <vt:lpstr>Storage - Equity&amp;ER (2017)</vt:lpstr>
      <vt:lpstr>Generation (2020)</vt:lpstr>
      <vt:lpstr>Generation (2017)</vt:lpstr>
      <vt:lpstr>Form FIlls</vt:lpstr>
      <vt:lpstr>No</vt:lpstr>
      <vt:lpstr>Yes</vt:lpstr>
    </vt:vector>
  </TitlesOfParts>
  <Manager/>
  <Company>Energy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Aimee Beasley</dc:creator>
  <cp:keywords/>
  <dc:description/>
  <cp:lastModifiedBy>David Zhang</cp:lastModifiedBy>
  <cp:revision/>
  <dcterms:created xsi:type="dcterms:W3CDTF">2012-06-08T00:36:48Z</dcterms:created>
  <dcterms:modified xsi:type="dcterms:W3CDTF">2021-04-13T22:18:47Z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0x0101003A3750596B3CCF4C86C04E6E9F9D6917</vt:lpwstr>
  </property>
</Properties>
</file>